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clerbo\Desktop\Peutz_VAV\Drukval_registerklep\"/>
    </mc:Choice>
  </mc:AlternateContent>
  <bookViews>
    <workbookView xWindow="0" yWindow="0" windowWidth="24000" windowHeight="9735"/>
  </bookViews>
  <sheets>
    <sheet name="Calcul" sheetId="8" r:id="rId1"/>
    <sheet name="Sound Power" sheetId="9" state="hidden" r:id="rId2"/>
    <sheet name="dPs vs Alfa" sheetId="5" state="hidden" r:id="rId3"/>
    <sheet name="ModelParams Lw" sheetId="4" state="hidden" r:id="rId4"/>
    <sheet name="PullDownMenu" sheetId="3" state="hidden" r:id="rId5"/>
  </sheets>
  <definedNames>
    <definedName name="solver_eng" localSheetId="0" hidden="1">1</definedName>
    <definedName name="solver_eng" localSheetId="2" hidden="1">1</definedName>
    <definedName name="solver_neg" localSheetId="0" hidden="1">1</definedName>
    <definedName name="solver_neg" localSheetId="2" hidden="1">1</definedName>
    <definedName name="solver_num" localSheetId="0" hidden="1">0</definedName>
    <definedName name="solver_num" localSheetId="2" hidden="1">0</definedName>
    <definedName name="solver_typ" localSheetId="0" hidden="1">1</definedName>
    <definedName name="solver_typ" localSheetId="2" hidden="1">2</definedName>
    <definedName name="solver_val" localSheetId="0" hidden="1">0</definedName>
    <definedName name="solver_val" localSheetId="2" hidden="1">0</definedName>
    <definedName name="solver_ver" localSheetId="0" hidden="1">3</definedName>
    <definedName name="solver_ver" localSheetId="2" hidden="1">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8" l="1"/>
  <c r="C6" i="5"/>
  <c r="D6" i="5"/>
  <c r="E6" i="5"/>
  <c r="F6" i="5"/>
  <c r="G6" i="5"/>
  <c r="H6" i="5"/>
  <c r="I6" i="5"/>
  <c r="J6" i="5"/>
  <c r="B6" i="5"/>
  <c r="C14" i="8"/>
  <c r="D8" i="8" s="1"/>
  <c r="B9" i="5"/>
  <c r="B10" i="5"/>
  <c r="E5" i="9" l="1"/>
  <c r="E6" i="9"/>
  <c r="E7" i="9"/>
  <c r="E8" i="9"/>
  <c r="E9" i="9"/>
  <c r="E10" i="9"/>
  <c r="E11" i="9"/>
  <c r="E12" i="9"/>
  <c r="E4" i="9"/>
  <c r="D5" i="9"/>
  <c r="D6" i="9"/>
  <c r="D7" i="9"/>
  <c r="D8" i="9"/>
  <c r="D9" i="9"/>
  <c r="D10" i="9"/>
  <c r="D11" i="9"/>
  <c r="D12" i="9"/>
  <c r="D4" i="9"/>
  <c r="A5" i="9"/>
  <c r="A6" i="9"/>
  <c r="A7" i="9"/>
  <c r="A8" i="9"/>
  <c r="A9" i="9"/>
  <c r="A10" i="9"/>
  <c r="A11" i="9"/>
  <c r="A12" i="9"/>
  <c r="A4" i="9"/>
  <c r="C7" i="5"/>
  <c r="D7" i="5"/>
  <c r="E7" i="5"/>
  <c r="F7" i="5"/>
  <c r="G7" i="5"/>
  <c r="H7" i="5"/>
  <c r="I7" i="5"/>
  <c r="J7" i="5"/>
  <c r="B7" i="5" l="1"/>
  <c r="B8" i="5" s="1"/>
  <c r="C15" i="8" s="1"/>
  <c r="K14" i="8"/>
  <c r="J8" i="5" s="1"/>
  <c r="J14" i="8"/>
  <c r="I8" i="5" s="1"/>
  <c r="I14" i="8"/>
  <c r="H8" i="5" s="1"/>
  <c r="H14" i="8"/>
  <c r="G8" i="5" s="1"/>
  <c r="G14" i="8"/>
  <c r="F8" i="5" s="1"/>
  <c r="F14" i="8"/>
  <c r="E8" i="5" s="1"/>
  <c r="E14" i="8"/>
  <c r="D8" i="5" s="1"/>
  <c r="D14" i="8"/>
  <c r="C8" i="5" s="1"/>
  <c r="B17" i="8"/>
  <c r="B8" i="8"/>
  <c r="A3" i="9" s="1"/>
  <c r="B12" i="9" s="1"/>
  <c r="B6" i="9" l="1"/>
  <c r="B11" i="9"/>
  <c r="B9" i="9"/>
  <c r="B8" i="9"/>
  <c r="B4" i="9"/>
  <c r="B7" i="9"/>
  <c r="B5" i="9"/>
  <c r="B10" i="9"/>
  <c r="C16" i="8"/>
  <c r="C4" i="9"/>
  <c r="F4" i="9" s="1"/>
  <c r="N4" i="9" s="1"/>
  <c r="X4" i="9" s="1"/>
  <c r="C10" i="9"/>
  <c r="I16" i="8"/>
  <c r="I15" i="8"/>
  <c r="F15" i="8"/>
  <c r="F16" i="8"/>
  <c r="C7" i="9"/>
  <c r="C8" i="9"/>
  <c r="G15" i="8"/>
  <c r="G16" i="8"/>
  <c r="K16" i="8"/>
  <c r="C12" i="9"/>
  <c r="K12" i="9" s="1"/>
  <c r="S12" i="9" s="1"/>
  <c r="AC12" i="9" s="1"/>
  <c r="K15" i="8"/>
  <c r="D15" i="8"/>
  <c r="D16" i="8"/>
  <c r="C5" i="9"/>
  <c r="H15" i="8"/>
  <c r="H16" i="8"/>
  <c r="C9" i="9"/>
  <c r="C6" i="9"/>
  <c r="F6" i="9" s="1"/>
  <c r="N6" i="9" s="1"/>
  <c r="E15" i="8"/>
  <c r="E16" i="8"/>
  <c r="J16" i="8"/>
  <c r="C11" i="9"/>
  <c r="J15" i="8"/>
  <c r="K10" i="9" l="1"/>
  <c r="S10" i="9" s="1"/>
  <c r="AC10" i="9" s="1"/>
  <c r="F9" i="9"/>
  <c r="N9" i="9" s="1"/>
  <c r="X9" i="9" s="1"/>
  <c r="I10" i="9"/>
  <c r="Q10" i="9" s="1"/>
  <c r="AA10" i="9" s="1"/>
  <c r="X6" i="9"/>
  <c r="J12" i="9"/>
  <c r="R12" i="9" s="1"/>
  <c r="AB12" i="9" s="1"/>
  <c r="H10" i="9"/>
  <c r="P10" i="9" s="1"/>
  <c r="Z10" i="9" s="1"/>
  <c r="F10" i="9"/>
  <c r="N10" i="9" s="1"/>
  <c r="L10" i="9"/>
  <c r="T10" i="9" s="1"/>
  <c r="AD10" i="9" s="1"/>
  <c r="M10" i="9"/>
  <c r="U10" i="9" s="1"/>
  <c r="AE10" i="9" s="1"/>
  <c r="M5" i="9"/>
  <c r="U5" i="9" s="1"/>
  <c r="AE5" i="9" s="1"/>
  <c r="K5" i="9"/>
  <c r="S5" i="9" s="1"/>
  <c r="AC5" i="9" s="1"/>
  <c r="I5" i="9"/>
  <c r="Q5" i="9" s="1"/>
  <c r="AA5" i="9" s="1"/>
  <c r="G5" i="9"/>
  <c r="O5" i="9" s="1"/>
  <c r="Y5" i="9" s="1"/>
  <c r="J5" i="9"/>
  <c r="R5" i="9" s="1"/>
  <c r="AB5" i="9" s="1"/>
  <c r="L5" i="9"/>
  <c r="T5" i="9" s="1"/>
  <c r="AD5" i="9" s="1"/>
  <c r="F5" i="9"/>
  <c r="N5" i="9" s="1"/>
  <c r="H5" i="9"/>
  <c r="P5" i="9" s="1"/>
  <c r="Z5" i="9" s="1"/>
  <c r="M12" i="9"/>
  <c r="U12" i="9" s="1"/>
  <c r="AE12" i="9" s="1"/>
  <c r="F12" i="9"/>
  <c r="N12" i="9" s="1"/>
  <c r="M11" i="9"/>
  <c r="U11" i="9" s="1"/>
  <c r="AE11" i="9" s="1"/>
  <c r="L11" i="9"/>
  <c r="T11" i="9" s="1"/>
  <c r="AD11" i="9" s="1"/>
  <c r="I11" i="9"/>
  <c r="Q11" i="9" s="1"/>
  <c r="AA11" i="9" s="1"/>
  <c r="F11" i="9"/>
  <c r="N11" i="9" s="1"/>
  <c r="H11" i="9"/>
  <c r="P11" i="9" s="1"/>
  <c r="Z11" i="9" s="1"/>
  <c r="K11" i="9"/>
  <c r="S11" i="9" s="1"/>
  <c r="AC11" i="9" s="1"/>
  <c r="J11" i="9"/>
  <c r="R11" i="9" s="1"/>
  <c r="AB11" i="9" s="1"/>
  <c r="G11" i="9"/>
  <c r="O11" i="9" s="1"/>
  <c r="Y11" i="9" s="1"/>
  <c r="H4" i="9"/>
  <c r="P4" i="9" s="1"/>
  <c r="Z4" i="9" s="1"/>
  <c r="K4" i="9"/>
  <c r="S4" i="9" s="1"/>
  <c r="AC4" i="9" s="1"/>
  <c r="G4" i="9"/>
  <c r="O4" i="9" s="1"/>
  <c r="I4" i="9"/>
  <c r="Q4" i="9" s="1"/>
  <c r="AA4" i="9" s="1"/>
  <c r="M4" i="9"/>
  <c r="U4" i="9" s="1"/>
  <c r="AE4" i="9" s="1"/>
  <c r="J4" i="9"/>
  <c r="R4" i="9" s="1"/>
  <c r="AB4" i="9" s="1"/>
  <c r="L4" i="9"/>
  <c r="T4" i="9" s="1"/>
  <c r="AD4" i="9" s="1"/>
  <c r="H12" i="9"/>
  <c r="P12" i="9" s="1"/>
  <c r="Z12" i="9" s="1"/>
  <c r="I12" i="9"/>
  <c r="Q12" i="9" s="1"/>
  <c r="AA12" i="9" s="1"/>
  <c r="J9" i="9"/>
  <c r="R9" i="9" s="1"/>
  <c r="AB9" i="9" s="1"/>
  <c r="M9" i="9"/>
  <c r="U9" i="9" s="1"/>
  <c r="AE9" i="9" s="1"/>
  <c r="G9" i="9"/>
  <c r="O9" i="9" s="1"/>
  <c r="Y9" i="9" s="1"/>
  <c r="L9" i="9"/>
  <c r="T9" i="9" s="1"/>
  <c r="AD9" i="9" s="1"/>
  <c r="H9" i="9"/>
  <c r="P9" i="9" s="1"/>
  <c r="Z9" i="9" s="1"/>
  <c r="K9" i="9"/>
  <c r="S9" i="9" s="1"/>
  <c r="AC9" i="9" s="1"/>
  <c r="G6" i="9"/>
  <c r="O6" i="9" s="1"/>
  <c r="Y6" i="9" s="1"/>
  <c r="I6" i="9"/>
  <c r="Q6" i="9" s="1"/>
  <c r="AA6" i="9" s="1"/>
  <c r="J6" i="9"/>
  <c r="R6" i="9" s="1"/>
  <c r="AB6" i="9" s="1"/>
  <c r="M6" i="9"/>
  <c r="U6" i="9" s="1"/>
  <c r="AE6" i="9" s="1"/>
  <c r="L6" i="9"/>
  <c r="T6" i="9" s="1"/>
  <c r="AD6" i="9" s="1"/>
  <c r="H6" i="9"/>
  <c r="P6" i="9" s="1"/>
  <c r="Z6" i="9" s="1"/>
  <c r="K6" i="9"/>
  <c r="S6" i="9" s="1"/>
  <c r="AC6" i="9" s="1"/>
  <c r="G10" i="9"/>
  <c r="O10" i="9" s="1"/>
  <c r="Y10" i="9" s="1"/>
  <c r="G12" i="9"/>
  <c r="O12" i="9" s="1"/>
  <c r="Y12" i="9" s="1"/>
  <c r="K8" i="9"/>
  <c r="S8" i="9" s="1"/>
  <c r="AC8" i="9" s="1"/>
  <c r="M8" i="9"/>
  <c r="U8" i="9" s="1"/>
  <c r="AE8" i="9" s="1"/>
  <c r="G8" i="9"/>
  <c r="O8" i="9" s="1"/>
  <c r="Y8" i="9" s="1"/>
  <c r="J8" i="9"/>
  <c r="R8" i="9" s="1"/>
  <c r="AB8" i="9" s="1"/>
  <c r="L8" i="9"/>
  <c r="T8" i="9" s="1"/>
  <c r="AD8" i="9" s="1"/>
  <c r="F8" i="9"/>
  <c r="N8" i="9" s="1"/>
  <c r="I8" i="9"/>
  <c r="Q8" i="9" s="1"/>
  <c r="AA8" i="9" s="1"/>
  <c r="H8" i="9"/>
  <c r="P8" i="9" s="1"/>
  <c r="Z8" i="9" s="1"/>
  <c r="X12" i="9" l="1"/>
  <c r="X5" i="9"/>
  <c r="V5" i="9"/>
  <c r="D17" i="8" s="1"/>
  <c r="X11" i="9"/>
  <c r="V11" i="9"/>
  <c r="J17" i="8" s="1"/>
  <c r="X10" i="9"/>
  <c r="V8" i="9"/>
  <c r="G17" i="8" s="1"/>
  <c r="V6" i="9"/>
  <c r="E17" i="8" s="1"/>
  <c r="Y4" i="9"/>
  <c r="V4" i="9"/>
  <c r="X8" i="9"/>
  <c r="J10" i="9"/>
  <c r="I9" i="9"/>
  <c r="Q9" i="9" s="1"/>
  <c r="AA9" i="9" s="1"/>
  <c r="L12" i="9"/>
  <c r="T12" i="9" s="1"/>
  <c r="AD12" i="9" s="1"/>
  <c r="G7" i="9"/>
  <c r="O7" i="9" s="1"/>
  <c r="Y7" i="9" s="1"/>
  <c r="L7" i="9"/>
  <c r="T7" i="9" s="1"/>
  <c r="AD7" i="9" s="1"/>
  <c r="I7" i="9"/>
  <c r="Q7" i="9" s="1"/>
  <c r="AA7" i="9" s="1"/>
  <c r="F7" i="9"/>
  <c r="N7" i="9" s="1"/>
  <c r="H7" i="9"/>
  <c r="P7" i="9" s="1"/>
  <c r="Z7" i="9" s="1"/>
  <c r="J7" i="9"/>
  <c r="R7" i="9" s="1"/>
  <c r="AB7" i="9" s="1"/>
  <c r="M7" i="9"/>
  <c r="U7" i="9" s="1"/>
  <c r="AE7" i="9" s="1"/>
  <c r="K7" i="9"/>
  <c r="S7" i="9" s="1"/>
  <c r="AC7" i="9" s="1"/>
  <c r="E3" i="3"/>
  <c r="E4" i="3" s="1"/>
  <c r="E5" i="3" s="1"/>
  <c r="E6" i="3" s="1"/>
  <c r="E7" i="3" s="1"/>
  <c r="E8" i="3" s="1"/>
  <c r="E9" i="3" s="1"/>
  <c r="E10" i="3" s="1"/>
  <c r="E11" i="3" s="1"/>
  <c r="E12" i="3" s="1"/>
  <c r="E13" i="3" s="1"/>
  <c r="E14" i="3" s="1"/>
  <c r="E15" i="3" s="1"/>
  <c r="E16" i="3" s="1"/>
  <c r="E17" i="3" s="1"/>
  <c r="E18" i="3" s="1"/>
  <c r="E19" i="3" s="1"/>
  <c r="E20" i="3" s="1"/>
  <c r="E21" i="3" s="1"/>
  <c r="E22" i="3" s="1"/>
  <c r="E2" i="3"/>
  <c r="D3" i="3"/>
  <c r="D4" i="3" s="1"/>
  <c r="D5" i="3" s="1"/>
  <c r="D6" i="3" s="1"/>
  <c r="D7" i="3" s="1"/>
  <c r="D8" i="3" s="1"/>
  <c r="D9" i="3" s="1"/>
  <c r="D10" i="3" s="1"/>
  <c r="D11" i="3" s="1"/>
  <c r="D12" i="3" s="1"/>
  <c r="D13" i="3" s="1"/>
  <c r="D14" i="3" s="1"/>
  <c r="D15" i="3" s="1"/>
  <c r="D16" i="3" s="1"/>
  <c r="D17" i="3" s="1"/>
  <c r="D18" i="3" s="1"/>
  <c r="D19" i="3" s="1"/>
  <c r="D20" i="3" s="1"/>
  <c r="D21" i="3" s="1"/>
  <c r="D22" i="3" s="1"/>
  <c r="D23" i="3" s="1"/>
  <c r="D24" i="3" s="1"/>
  <c r="V12" i="9" l="1"/>
  <c r="K17" i="8" s="1"/>
  <c r="X7" i="9"/>
  <c r="V7" i="9"/>
  <c r="F17" i="8" s="1"/>
  <c r="F23" i="8" s="1"/>
  <c r="V9" i="9"/>
  <c r="H17" i="8" s="1"/>
  <c r="D25" i="8"/>
  <c r="D21" i="8"/>
  <c r="D24" i="8"/>
  <c r="D20" i="8"/>
  <c r="D23" i="8"/>
  <c r="D19" i="8"/>
  <c r="D22" i="8"/>
  <c r="D18" i="8"/>
  <c r="E25" i="8"/>
  <c r="E21" i="8"/>
  <c r="E24" i="8"/>
  <c r="E20" i="8"/>
  <c r="E23" i="8"/>
  <c r="E19" i="8"/>
  <c r="E22" i="8"/>
  <c r="E18" i="8"/>
  <c r="G25" i="8"/>
  <c r="G21" i="8"/>
  <c r="G24" i="8"/>
  <c r="G20" i="8"/>
  <c r="G23" i="8"/>
  <c r="G19" i="8"/>
  <c r="G22" i="8"/>
  <c r="G18" i="8"/>
  <c r="J25" i="8"/>
  <c r="J21" i="8"/>
  <c r="J24" i="8"/>
  <c r="J20" i="8"/>
  <c r="J23" i="8"/>
  <c r="J19" i="8"/>
  <c r="J22" i="8"/>
  <c r="J18" i="8"/>
  <c r="R10" i="9"/>
  <c r="C17" i="8"/>
  <c r="W9" i="9"/>
  <c r="W6" i="9"/>
  <c r="W4" i="9"/>
  <c r="W11" i="9"/>
  <c r="W5" i="9"/>
  <c r="W8" i="9"/>
  <c r="W12" i="9"/>
  <c r="C23" i="8" l="1"/>
  <c r="AB10" i="9"/>
  <c r="W10" i="9" s="1"/>
  <c r="V10" i="9"/>
  <c r="I17" i="8" s="1"/>
  <c r="F25" i="8"/>
  <c r="F21" i="8"/>
  <c r="F24" i="8"/>
  <c r="F20" i="8"/>
  <c r="F19" i="8"/>
  <c r="F22" i="8"/>
  <c r="F18" i="8"/>
  <c r="K25" i="8"/>
  <c r="K21" i="8"/>
  <c r="K24" i="8"/>
  <c r="K20" i="8"/>
  <c r="K23" i="8"/>
  <c r="K19" i="8"/>
  <c r="K22" i="8"/>
  <c r="K18" i="8"/>
  <c r="C25" i="8"/>
  <c r="C21" i="8"/>
  <c r="C24" i="8"/>
  <c r="C20" i="8"/>
  <c r="C19" i="8"/>
  <c r="C22" i="8"/>
  <c r="C18" i="8"/>
  <c r="H25" i="8"/>
  <c r="H21" i="8"/>
  <c r="H24" i="8"/>
  <c r="H20" i="8"/>
  <c r="H23" i="8"/>
  <c r="H19" i="8"/>
  <c r="H22" i="8"/>
  <c r="H18" i="8"/>
  <c r="W7" i="9"/>
  <c r="I25" i="8" l="1"/>
  <c r="I21" i="8"/>
  <c r="I24" i="8"/>
  <c r="I20" i="8"/>
  <c r="I23" i="8"/>
  <c r="I19" i="8"/>
  <c r="I22" i="8"/>
  <c r="I18" i="8"/>
</calcChain>
</file>

<file path=xl/sharedStrings.xml><?xml version="1.0" encoding="utf-8"?>
<sst xmlns="http://schemas.openxmlformats.org/spreadsheetml/2006/main" count="137" uniqueCount="109">
  <si>
    <t>Flow rate</t>
  </si>
  <si>
    <t>[m³/h]</t>
  </si>
  <si>
    <t>[Pa]</t>
  </si>
  <si>
    <t>W</t>
  </si>
  <si>
    <t>H</t>
  </si>
  <si>
    <t>[mm]</t>
  </si>
  <si>
    <t>insulation casing</t>
  </si>
  <si>
    <t>sound attenuator</t>
  </si>
  <si>
    <t>duct velocity</t>
  </si>
  <si>
    <t>[m/s]</t>
  </si>
  <si>
    <t>sound power</t>
  </si>
  <si>
    <t>sound power spectrum [Hz]</t>
  </si>
  <si>
    <t>dB(A)</t>
  </si>
  <si>
    <t>unit sound</t>
  </si>
  <si>
    <t>unit flowrate</t>
  </si>
  <si>
    <t>m³/h</t>
  </si>
  <si>
    <t>Unit Flowrate</t>
  </si>
  <si>
    <t>L/s</t>
  </si>
  <si>
    <t>m³/s</t>
  </si>
  <si>
    <t>Unit sound</t>
  </si>
  <si>
    <t>NR</t>
  </si>
  <si>
    <t>[m]</t>
  </si>
  <si>
    <t>octaaffrequentie f [Hz]</t>
  </si>
  <si>
    <t>A0</t>
  </si>
  <si>
    <t>A1</t>
  </si>
  <si>
    <t>A2</t>
  </si>
  <si>
    <t>A3</t>
  </si>
  <si>
    <t>B0</t>
  </si>
  <si>
    <t>B1</t>
  </si>
  <si>
    <t>B2</t>
  </si>
  <si>
    <t>B3</t>
  </si>
  <si>
    <t>B4</t>
  </si>
  <si>
    <t>B5</t>
  </si>
  <si>
    <t>B6</t>
  </si>
  <si>
    <t>C0</t>
  </si>
  <si>
    <t>DISCHARGE SOUND POWER - MODEL PARAMETERS</t>
  </si>
  <si>
    <t>parameter</t>
  </si>
  <si>
    <t>Lw</t>
  </si>
  <si>
    <r>
      <rPr>
        <b/>
        <sz val="10"/>
        <color theme="1"/>
        <rFont val="Symbol"/>
        <family val="1"/>
        <charset val="2"/>
      </rPr>
      <t>D</t>
    </r>
    <r>
      <rPr>
        <b/>
        <sz val="10"/>
        <color theme="1"/>
        <rFont val="Calibri"/>
        <family val="2"/>
      </rPr>
      <t>P</t>
    </r>
    <r>
      <rPr>
        <b/>
        <vertAlign val="subscript"/>
        <sz val="10"/>
        <color theme="1"/>
        <rFont val="Calibri"/>
        <family val="2"/>
      </rPr>
      <t>s</t>
    </r>
  </si>
  <si>
    <t>octaaffrequentie [Hz]</t>
  </si>
  <si>
    <r>
      <t>A</t>
    </r>
    <r>
      <rPr>
        <b/>
        <vertAlign val="subscript"/>
        <sz val="8"/>
        <color rgb="FF000000"/>
        <rFont val="Calibri"/>
        <family val="2"/>
      </rPr>
      <t>f</t>
    </r>
  </si>
  <si>
    <r>
      <t>B</t>
    </r>
    <r>
      <rPr>
        <b/>
        <vertAlign val="subscript"/>
        <sz val="8"/>
        <color rgb="FF000000"/>
        <rFont val="Calibri"/>
        <family val="2"/>
      </rPr>
      <t>f</t>
    </r>
  </si>
  <si>
    <t>PARAMETERS FOR NR SOUND CALCULATIONS</t>
  </si>
  <si>
    <t>PARAMETERS FOR A-WEIGHTED SOUND CALCULATIONS</t>
  </si>
  <si>
    <t>RADIATED SOUND POWER - MODEL PARAMETERS</t>
  </si>
  <si>
    <r>
      <t>A</t>
    </r>
    <r>
      <rPr>
        <b/>
        <vertAlign val="subscript"/>
        <sz val="8"/>
        <color theme="1"/>
        <rFont val="Calibri"/>
        <family val="2"/>
        <scheme val="minor"/>
      </rPr>
      <t>f</t>
    </r>
  </si>
  <si>
    <r>
      <t>B</t>
    </r>
    <r>
      <rPr>
        <b/>
        <vertAlign val="subscript"/>
        <sz val="8"/>
        <color theme="1"/>
        <rFont val="Calibri"/>
        <family val="2"/>
        <scheme val="minor"/>
      </rPr>
      <t>f</t>
    </r>
  </si>
  <si>
    <t>non-insulated</t>
  </si>
  <si>
    <t>insulated</t>
  </si>
  <si>
    <t>discharge noise - NR</t>
  </si>
  <si>
    <t>discharge noise - dB</t>
  </si>
  <si>
    <r>
      <rPr>
        <b/>
        <sz val="8"/>
        <color rgb="FF000000"/>
        <rFont val="Symbol"/>
        <family val="1"/>
        <charset val="2"/>
      </rPr>
      <t>D</t>
    </r>
    <r>
      <rPr>
        <b/>
        <sz val="8"/>
        <color rgb="FF000000"/>
        <rFont val="Calibri"/>
        <family val="2"/>
      </rPr>
      <t>L</t>
    </r>
    <r>
      <rPr>
        <b/>
        <vertAlign val="subscript"/>
        <sz val="8"/>
        <color rgb="FF000000"/>
        <rFont val="Calibri"/>
        <family val="2"/>
      </rPr>
      <t>A,f</t>
    </r>
  </si>
  <si>
    <t>B [mm]</t>
  </si>
  <si>
    <t>K [mm]</t>
  </si>
  <si>
    <t>nK</t>
  </si>
  <si>
    <t>VD</t>
  </si>
  <si>
    <t>SOUND ATTENUATOR - NOISE GENERATING</t>
  </si>
  <si>
    <t>SOUND ATTENUATOR - NOISE ATTENUATION</t>
  </si>
  <si>
    <r>
      <t>A</t>
    </r>
    <r>
      <rPr>
        <b/>
        <vertAlign val="subscript"/>
        <sz val="8"/>
        <color theme="1"/>
        <rFont val="Calibri"/>
        <family val="2"/>
        <scheme val="minor"/>
      </rPr>
      <t>0</t>
    </r>
  </si>
  <si>
    <r>
      <t>A</t>
    </r>
    <r>
      <rPr>
        <b/>
        <vertAlign val="subscript"/>
        <sz val="8"/>
        <color theme="1"/>
        <rFont val="Calibri"/>
        <family val="2"/>
        <scheme val="minor"/>
      </rPr>
      <t>1</t>
    </r>
  </si>
  <si>
    <r>
      <t>A</t>
    </r>
    <r>
      <rPr>
        <b/>
        <vertAlign val="subscript"/>
        <sz val="8"/>
        <color theme="1"/>
        <rFont val="Calibri"/>
        <family val="2"/>
        <scheme val="minor"/>
      </rPr>
      <t>2</t>
    </r>
  </si>
  <si>
    <t>none</t>
  </si>
  <si>
    <r>
      <t>C</t>
    </r>
    <r>
      <rPr>
        <b/>
        <vertAlign val="subscript"/>
        <sz val="8"/>
        <color theme="1"/>
        <rFont val="Calibri"/>
        <family val="2"/>
        <scheme val="minor"/>
      </rPr>
      <t>f</t>
    </r>
  </si>
  <si>
    <r>
      <t>D</t>
    </r>
    <r>
      <rPr>
        <b/>
        <vertAlign val="subscript"/>
        <sz val="8"/>
        <color theme="1"/>
        <rFont val="Calibri"/>
        <family val="2"/>
        <scheme val="minor"/>
      </rPr>
      <t>f</t>
    </r>
  </si>
  <si>
    <r>
      <t>a</t>
    </r>
    <r>
      <rPr>
        <b/>
        <sz val="10"/>
        <color theme="1"/>
        <rFont val="Calibri"/>
        <family val="2"/>
        <scheme val="minor"/>
      </rPr>
      <t xml:space="preserve"> for discharge noise</t>
    </r>
  </si>
  <si>
    <t>SW</t>
  </si>
  <si>
    <t>A</t>
  </si>
  <si>
    <t>B</t>
  </si>
  <si>
    <t>C</t>
  </si>
  <si>
    <t>H [mm]</t>
  </si>
  <si>
    <t>W [mm]</t>
  </si>
  <si>
    <t>DW</t>
  </si>
  <si>
    <t>SA</t>
  </si>
  <si>
    <r>
      <t xml:space="preserve">[m³/h </t>
    </r>
    <r>
      <rPr>
        <b/>
        <sz val="11"/>
        <color theme="1"/>
        <rFont val="Symbol"/>
        <family val="1"/>
        <charset val="2"/>
      </rPr>
      <t>ï</t>
    </r>
    <r>
      <rPr>
        <b/>
        <sz val="11"/>
        <color theme="1"/>
        <rFont val="Calibri"/>
        <family val="2"/>
        <scheme val="minor"/>
      </rPr>
      <t xml:space="preserve"> L/s </t>
    </r>
    <r>
      <rPr>
        <b/>
        <sz val="11"/>
        <color theme="1"/>
        <rFont val="Symbol"/>
        <family val="1"/>
        <charset val="2"/>
      </rPr>
      <t>ï</t>
    </r>
    <r>
      <rPr>
        <b/>
        <sz val="11"/>
        <color theme="1"/>
        <rFont val="Calibri"/>
        <family val="2"/>
        <scheme val="minor"/>
      </rPr>
      <t xml:space="preserve"> m³/s]</t>
    </r>
  </si>
  <si>
    <t>soft</t>
  </si>
  <si>
    <t>hard</t>
  </si>
  <si>
    <t>normal</t>
  </si>
  <si>
    <t>high</t>
  </si>
  <si>
    <t>low</t>
  </si>
  <si>
    <t>medium</t>
  </si>
  <si>
    <t>very high</t>
  </si>
  <si>
    <t>room attenuation</t>
  </si>
  <si>
    <t>ceiling attenuation</t>
  </si>
  <si>
    <t>DIMENSIONING OF DAMPER</t>
  </si>
  <si>
    <t>KA-SERIES</t>
  </si>
  <si>
    <t>width, B</t>
  </si>
  <si>
    <t>height, H</t>
  </si>
  <si>
    <t>flow rate, Q</t>
  </si>
  <si>
    <t>sound power spectrum</t>
  </si>
  <si>
    <t>63 Hz</t>
  </si>
  <si>
    <t>125 Hz</t>
  </si>
  <si>
    <t>250 Hz</t>
  </si>
  <si>
    <t>500 Hz</t>
  </si>
  <si>
    <t>1000 Hz</t>
  </si>
  <si>
    <t>2000 Hz</t>
  </si>
  <si>
    <t>4000 Hz</t>
  </si>
  <si>
    <t>8000 Hz</t>
  </si>
  <si>
    <r>
      <t>sound power, L</t>
    </r>
    <r>
      <rPr>
        <b/>
        <vertAlign val="subscript"/>
        <sz val="11"/>
        <color theme="1"/>
        <rFont val="Calibri"/>
        <family val="2"/>
        <scheme val="minor"/>
      </rPr>
      <t>w</t>
    </r>
  </si>
  <si>
    <t>damper blade angle [°]</t>
  </si>
  <si>
    <r>
      <t xml:space="preserve">total pressure drop, </t>
    </r>
    <r>
      <rPr>
        <b/>
        <sz val="11"/>
        <color theme="1"/>
        <rFont val="Symbol"/>
        <family val="1"/>
        <charset val="2"/>
      </rPr>
      <t>D</t>
    </r>
    <r>
      <rPr>
        <b/>
        <sz val="11"/>
        <color theme="1"/>
        <rFont val="Calibri"/>
        <family val="2"/>
      </rPr>
      <t>P</t>
    </r>
    <r>
      <rPr>
        <b/>
        <vertAlign val="subscript"/>
        <sz val="11"/>
        <color theme="1"/>
        <rFont val="Calibri"/>
        <family val="2"/>
      </rPr>
      <t>tot</t>
    </r>
  </si>
  <si>
    <t>Total pressure loss calculation as function of blade angle</t>
  </si>
  <si>
    <r>
      <t xml:space="preserve">[dB(A) </t>
    </r>
    <r>
      <rPr>
        <b/>
        <sz val="11"/>
        <color theme="1"/>
        <rFont val="Symbol"/>
        <family val="1"/>
        <charset val="2"/>
      </rPr>
      <t>ï</t>
    </r>
    <r>
      <rPr>
        <b/>
        <sz val="11"/>
        <color theme="1"/>
        <rFont val="Calibri"/>
        <family val="2"/>
        <scheme val="minor"/>
      </rPr>
      <t xml:space="preserve"> NR]</t>
    </r>
  </si>
  <si>
    <t>Zeta</t>
  </si>
  <si>
    <t>L/R</t>
  </si>
  <si>
    <r>
      <t xml:space="preserve">static pressure drop, </t>
    </r>
    <r>
      <rPr>
        <b/>
        <sz val="11"/>
        <color theme="1"/>
        <rFont val="Symbol"/>
        <family val="1"/>
        <charset val="2"/>
      </rPr>
      <t>D</t>
    </r>
    <r>
      <rPr>
        <b/>
        <sz val="11"/>
        <color theme="1"/>
        <rFont val="Calibri"/>
        <family val="2"/>
      </rPr>
      <t>P</t>
    </r>
    <r>
      <rPr>
        <b/>
        <vertAlign val="subscript"/>
        <sz val="11"/>
        <color theme="1"/>
        <rFont val="Calibri"/>
        <family val="2"/>
      </rPr>
      <t>s</t>
    </r>
  </si>
  <si>
    <t>OPEN</t>
  </si>
  <si>
    <t>dPs</t>
  </si>
  <si>
    <t>C7</t>
  </si>
  <si>
    <t>hoogte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</si>
</sst>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theme="1"/>
      <name val="Symbol"/>
      <family val="1"/>
      <charset val="2"/>
    </font>
    <font>
      <b/>
      <vertAlign val="subscript"/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6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rgb="FF000000"/>
      <name val="Calibri"/>
      <family val="2"/>
    </font>
    <font>
      <sz val="8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0"/>
      <color theme="1"/>
      <name val="Calibri"/>
      <family val="2"/>
    </font>
    <font>
      <b/>
      <sz val="10"/>
      <color theme="1"/>
      <name val="Symbol"/>
      <family val="1"/>
      <charset val="2"/>
    </font>
    <font>
      <b/>
      <vertAlign val="subscript"/>
      <sz val="10"/>
      <color theme="1"/>
      <name val="Calibri"/>
      <family val="2"/>
    </font>
    <font>
      <b/>
      <vertAlign val="subscript"/>
      <sz val="8"/>
      <color rgb="FF000000"/>
      <name val="Calibri"/>
      <family val="2"/>
    </font>
    <font>
      <sz val="8"/>
      <color theme="1"/>
      <name val="Calibri"/>
      <family val="2"/>
      <scheme val="minor"/>
    </font>
    <font>
      <sz val="8"/>
      <color theme="1"/>
      <name val="Cambria"/>
      <family val="1"/>
    </font>
    <font>
      <b/>
      <sz val="8"/>
      <color theme="1"/>
      <name val="Calibri"/>
      <family val="2"/>
      <scheme val="minor"/>
    </font>
    <font>
      <b/>
      <vertAlign val="subscript"/>
      <sz val="8"/>
      <color theme="1"/>
      <name val="Calibri"/>
      <family val="2"/>
      <scheme val="minor"/>
    </font>
    <font>
      <b/>
      <sz val="8"/>
      <color rgb="FF000000"/>
      <name val="Symbol"/>
      <family val="1"/>
      <charset val="2"/>
    </font>
    <font>
      <sz val="8"/>
      <color rgb="FF000000"/>
      <name val="DINPro"/>
      <family val="2"/>
    </font>
    <font>
      <b/>
      <vertAlign val="subscript"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2F2F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/>
    <xf numFmtId="0" fontId="0" fillId="0" borderId="0" xfId="0" applyFont="1" applyAlignment="1">
      <alignment horizontal="center"/>
    </xf>
    <xf numFmtId="0" fontId="0" fillId="0" borderId="0" xfId="0" applyFont="1"/>
    <xf numFmtId="0" fontId="1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0" fillId="4" borderId="1" xfId="0" applyFont="1" applyFill="1" applyBorder="1" applyAlignment="1">
      <alignment vertical="center"/>
    </xf>
    <xf numFmtId="0" fontId="11" fillId="4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3" fillId="2" borderId="3" xfId="0" applyFont="1" applyFill="1" applyBorder="1" applyAlignment="1">
      <alignment horizontal="center"/>
    </xf>
    <xf numFmtId="165" fontId="7" fillId="0" borderId="0" xfId="0" applyNumberFormat="1" applyFont="1" applyAlignment="1">
      <alignment horizontal="center"/>
    </xf>
    <xf numFmtId="166" fontId="5" fillId="2" borderId="1" xfId="0" applyNumberFormat="1" applyFont="1" applyFill="1" applyBorder="1" applyAlignment="1">
      <alignment horizontal="center"/>
    </xf>
    <xf numFmtId="166" fontId="7" fillId="0" borderId="0" xfId="0" applyNumberFormat="1" applyFont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0" fontId="17" fillId="0" borderId="0" xfId="0" applyFont="1"/>
    <xf numFmtId="0" fontId="17" fillId="0" borderId="0" xfId="0" applyFont="1" applyBorder="1"/>
    <xf numFmtId="0" fontId="8" fillId="4" borderId="1" xfId="0" applyFont="1" applyFill="1" applyBorder="1" applyAlignment="1">
      <alignment vertical="center"/>
    </xf>
    <xf numFmtId="0" fontId="18" fillId="4" borderId="1" xfId="0" applyFont="1" applyFill="1" applyBorder="1"/>
    <xf numFmtId="0" fontId="8" fillId="4" borderId="1" xfId="0" applyFont="1" applyFill="1" applyBorder="1" applyAlignment="1">
      <alignment horizontal="center" vertical="center"/>
    </xf>
    <xf numFmtId="0" fontId="1" fillId="0" borderId="0" xfId="0" applyFont="1" applyBorder="1"/>
    <xf numFmtId="0" fontId="17" fillId="2" borderId="2" xfId="0" applyFont="1" applyFill="1" applyBorder="1"/>
    <xf numFmtId="0" fontId="17" fillId="2" borderId="4" xfId="0" applyFont="1" applyFill="1" applyBorder="1" applyAlignment="1">
      <alignment horizontal="center"/>
    </xf>
    <xf numFmtId="0" fontId="19" fillId="2" borderId="7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19" fillId="2" borderId="2" xfId="0" applyFont="1" applyFill="1" applyBorder="1" applyAlignment="1">
      <alignment horizontal="center"/>
    </xf>
    <xf numFmtId="0" fontId="19" fillId="2" borderId="4" xfId="0" applyFont="1" applyFill="1" applyBorder="1" applyAlignment="1">
      <alignment horizontal="center"/>
    </xf>
    <xf numFmtId="164" fontId="17" fillId="0" borderId="1" xfId="0" applyNumberFormat="1" applyFont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22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166" fontId="0" fillId="0" borderId="0" xfId="0" applyNumberFormat="1" applyFont="1" applyAlignment="1">
      <alignment horizontal="center"/>
    </xf>
    <xf numFmtId="1" fontId="17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/>
    <xf numFmtId="0" fontId="5" fillId="0" borderId="0" xfId="0" applyFont="1" applyFill="1" applyBorder="1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 vertical="top"/>
    </xf>
    <xf numFmtId="0" fontId="0" fillId="0" borderId="0" xfId="0" applyFont="1" applyAlignment="1">
      <alignment horizontal="center" vertical="center"/>
    </xf>
    <xf numFmtId="0" fontId="24" fillId="0" borderId="0" xfId="0" quotePrefix="1" applyFont="1" applyAlignment="1">
      <alignment horizontal="left"/>
    </xf>
    <xf numFmtId="0" fontId="1" fillId="2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0" fontId="24" fillId="0" borderId="0" xfId="0" applyFont="1" applyFill="1" applyBorder="1" applyAlignment="1"/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1" fontId="2" fillId="2" borderId="5" xfId="0" applyNumberFormat="1" applyFont="1" applyFill="1" applyBorder="1" applyAlignment="1">
      <alignment horizontal="left"/>
    </xf>
    <xf numFmtId="0" fontId="1" fillId="2" borderId="5" xfId="0" applyFont="1" applyFill="1" applyBorder="1" applyAlignment="1"/>
    <xf numFmtId="0" fontId="1" fillId="2" borderId="2" xfId="0" applyFont="1" applyFill="1" applyBorder="1" applyAlignment="1"/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0" fillId="0" borderId="0" xfId="0" applyFont="1" applyFill="1"/>
    <xf numFmtId="0" fontId="0" fillId="0" borderId="0" xfId="0" applyFill="1"/>
    <xf numFmtId="0" fontId="0" fillId="0" borderId="0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1" fillId="0" borderId="0" xfId="0" applyFont="1" applyFill="1" applyBorder="1"/>
    <xf numFmtId="1" fontId="0" fillId="0" borderId="0" xfId="0" applyNumberFormat="1" applyFont="1"/>
    <xf numFmtId="0" fontId="25" fillId="0" borderId="0" xfId="0" applyFont="1" applyAlignment="1">
      <alignment horizontal="center"/>
    </xf>
    <xf numFmtId="0" fontId="0" fillId="3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165" fontId="14" fillId="2" borderId="4" xfId="0" applyNumberFormat="1" applyFont="1" applyFill="1" applyBorder="1" applyAlignment="1">
      <alignment horizontal="center"/>
    </xf>
    <xf numFmtId="165" fontId="5" fillId="2" borderId="4" xfId="0" applyNumberFormat="1" applyFont="1" applyFill="1" applyBorder="1" applyAlignment="1">
      <alignment horizontal="center"/>
    </xf>
    <xf numFmtId="166" fontId="5" fillId="2" borderId="4" xfId="0" applyNumberFormat="1" applyFont="1" applyFill="1" applyBorder="1" applyAlignment="1">
      <alignment horizontal="center"/>
    </xf>
    <xf numFmtId="165" fontId="5" fillId="2" borderId="2" xfId="0" applyNumberFormat="1" applyFont="1" applyFill="1" applyBorder="1" applyAlignment="1">
      <alignment horizontal="center"/>
    </xf>
    <xf numFmtId="166" fontId="5" fillId="2" borderId="2" xfId="0" applyNumberFormat="1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/>
    </xf>
    <xf numFmtId="0" fontId="25" fillId="0" borderId="0" xfId="0" applyFont="1" applyAlignment="1">
      <alignment horizontal="left"/>
    </xf>
    <xf numFmtId="166" fontId="0" fillId="0" borderId="0" xfId="0" applyNumberFormat="1" applyFont="1"/>
  </cellXfs>
  <cellStyles count="1">
    <cellStyle name="Standaard" xfId="0" builtinId="0"/>
  </cellStyles>
  <dxfs count="5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7C80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</xdr:colOff>
      <xdr:row>36</xdr:row>
      <xdr:rowOff>9525</xdr:rowOff>
    </xdr:from>
    <xdr:to>
      <xdr:col>13</xdr:col>
      <xdr:colOff>4278</xdr:colOff>
      <xdr:row>44</xdr:row>
      <xdr:rowOff>131588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81275" y="5934075"/>
          <a:ext cx="5395428" cy="16460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0"/>
  <sheetViews>
    <sheetView tabSelected="1" zoomScale="85" zoomScaleNormal="85" workbookViewId="0">
      <selection activeCell="E5" sqref="E5"/>
    </sheetView>
  </sheetViews>
  <sheetFormatPr defaultRowHeight="15" x14ac:dyDescent="0.25"/>
  <cols>
    <col min="1" max="1" width="21.85546875" style="2" customWidth="1"/>
    <col min="2" max="2" width="21.140625" style="2" bestFit="1" customWidth="1"/>
    <col min="3" max="8" width="12" style="2" customWidth="1"/>
    <col min="9" max="9" width="12" style="38" customWidth="1"/>
    <col min="10" max="10" width="12" style="34" customWidth="1"/>
    <col min="11" max="11" width="12" style="3" customWidth="1"/>
    <col min="12" max="12" width="13" style="34" customWidth="1"/>
    <col min="13" max="13" width="13" style="34" bestFit="1" customWidth="1"/>
    <col min="14" max="14" width="13.140625" style="34" customWidth="1"/>
    <col min="15" max="22" width="7.7109375" style="3" customWidth="1"/>
    <col min="23" max="30" width="7.7109375" style="34" customWidth="1"/>
    <col min="32" max="32" width="12.140625" customWidth="1"/>
  </cols>
  <sheetData>
    <row r="1" spans="1:30" ht="20.100000000000001" customHeight="1" x14ac:dyDescent="0.25">
      <c r="A1" s="44" t="s">
        <v>83</v>
      </c>
      <c r="H1" s="68"/>
      <c r="I1" s="42"/>
      <c r="J1" s="6"/>
      <c r="L1" s="3"/>
      <c r="W1" s="3"/>
      <c r="X1" s="3"/>
      <c r="Y1" s="3"/>
      <c r="Z1" s="3"/>
      <c r="AA1"/>
      <c r="AB1"/>
      <c r="AC1"/>
      <c r="AD1"/>
    </row>
    <row r="2" spans="1:30" ht="20.100000000000001" customHeight="1" x14ac:dyDescent="0.25">
      <c r="A2" s="44" t="s">
        <v>84</v>
      </c>
      <c r="H2" s="68"/>
      <c r="I2" s="42"/>
      <c r="J2" s="6"/>
      <c r="L2" s="3"/>
      <c r="W2" s="3"/>
      <c r="X2" s="3"/>
      <c r="Y2" s="3"/>
      <c r="Z2" s="3"/>
      <c r="AA2"/>
      <c r="AB2"/>
      <c r="AC2"/>
      <c r="AD2"/>
    </row>
    <row r="3" spans="1:30" ht="15.95" customHeight="1" x14ac:dyDescent="0.25">
      <c r="A3" s="4"/>
      <c r="I3" s="42"/>
      <c r="J3" s="6"/>
      <c r="L3" s="3"/>
      <c r="W3" s="3"/>
      <c r="X3" s="3"/>
      <c r="Y3" s="3"/>
      <c r="Z3" s="3"/>
      <c r="AA3"/>
      <c r="AB3"/>
      <c r="AC3"/>
      <c r="AD3"/>
    </row>
    <row r="4" spans="1:30" x14ac:dyDescent="0.25">
      <c r="E4" s="45"/>
      <c r="I4" s="2"/>
      <c r="L4" s="2"/>
      <c r="W4" s="3"/>
      <c r="X4" s="3"/>
      <c r="Y4" s="3"/>
      <c r="Z4" s="3"/>
      <c r="AA4" s="3"/>
      <c r="AB4" s="3"/>
      <c r="AC4" s="3"/>
      <c r="AD4" s="3"/>
    </row>
    <row r="5" spans="1:30" x14ac:dyDescent="0.25">
      <c r="A5" s="46"/>
      <c r="H5" s="49"/>
      <c r="I5" s="2"/>
      <c r="J5" s="2"/>
      <c r="K5" s="34"/>
      <c r="N5" s="3"/>
      <c r="V5" s="34"/>
      <c r="AD5"/>
    </row>
    <row r="6" spans="1:30" x14ac:dyDescent="0.25">
      <c r="A6" s="55" t="s">
        <v>85</v>
      </c>
      <c r="B6" s="54" t="s">
        <v>5</v>
      </c>
      <c r="C6" s="77">
        <v>1000</v>
      </c>
      <c r="H6" s="49"/>
      <c r="I6" s="2"/>
      <c r="J6" s="2"/>
      <c r="K6" s="34"/>
      <c r="N6" s="3"/>
      <c r="V6" s="34"/>
      <c r="AD6"/>
    </row>
    <row r="7" spans="1:30" x14ac:dyDescent="0.25">
      <c r="A7" s="55" t="s">
        <v>86</v>
      </c>
      <c r="B7" s="54" t="s">
        <v>5</v>
      </c>
      <c r="C7" s="77">
        <v>700</v>
      </c>
      <c r="D7" s="90" t="str">
        <f>IF(MOD($C$7,100)=0,"","Please round heigth H to hundreds!")</f>
        <v/>
      </c>
      <c r="F7" s="76"/>
      <c r="H7" s="49"/>
      <c r="I7" s="2"/>
      <c r="J7" s="2"/>
      <c r="K7" s="34"/>
      <c r="N7" s="3"/>
      <c r="V7" s="34"/>
      <c r="AD7"/>
    </row>
    <row r="8" spans="1:30" x14ac:dyDescent="0.25">
      <c r="A8" s="55" t="s">
        <v>87</v>
      </c>
      <c r="B8" s="54" t="str">
        <f>CONCATENATE("[",C10,"]")</f>
        <v>[m³/h]</v>
      </c>
      <c r="C8" s="77">
        <v>1500</v>
      </c>
      <c r="D8" s="90" t="str">
        <f>IF($C$14&lt;0.5,"Duct velocity is lower than 0.5 m/s. Please, increase flow rate!","")</f>
        <v/>
      </c>
      <c r="H8" s="49"/>
      <c r="I8" s="52"/>
      <c r="J8" s="51"/>
      <c r="K8" s="34"/>
      <c r="N8" s="3"/>
      <c r="V8" s="34"/>
      <c r="AD8"/>
    </row>
    <row r="9" spans="1:30" x14ac:dyDescent="0.25">
      <c r="A9" s="55" t="s">
        <v>13</v>
      </c>
      <c r="B9" s="54" t="s">
        <v>101</v>
      </c>
      <c r="C9" s="77" t="s">
        <v>12</v>
      </c>
      <c r="H9" s="49"/>
      <c r="I9" s="50"/>
      <c r="J9" s="51"/>
      <c r="K9" s="34"/>
      <c r="N9" s="3"/>
      <c r="V9" s="34"/>
      <c r="AD9"/>
    </row>
    <row r="10" spans="1:30" x14ac:dyDescent="0.25">
      <c r="A10" s="55" t="s">
        <v>14</v>
      </c>
      <c r="B10" s="54" t="s">
        <v>73</v>
      </c>
      <c r="C10" s="77" t="s">
        <v>15</v>
      </c>
      <c r="H10" s="49"/>
      <c r="I10" s="50"/>
      <c r="J10" s="51"/>
      <c r="K10" s="34"/>
      <c r="N10" s="3"/>
      <c r="V10" s="34"/>
      <c r="AD10"/>
    </row>
    <row r="11" spans="1:30" s="67" customFormat="1" x14ac:dyDescent="0.25">
      <c r="A11" s="62"/>
      <c r="B11" s="63"/>
      <c r="C11" s="63"/>
      <c r="D11" s="64"/>
      <c r="E11" s="64"/>
      <c r="F11" s="64"/>
      <c r="G11" s="64"/>
      <c r="H11" s="49"/>
      <c r="I11" s="50"/>
      <c r="J11" s="51"/>
      <c r="K11" s="65"/>
      <c r="L11" s="65"/>
      <c r="M11" s="65"/>
      <c r="N11" s="66"/>
      <c r="O11" s="66"/>
      <c r="P11" s="66"/>
      <c r="Q11" s="66"/>
      <c r="R11" s="66"/>
      <c r="S11" s="66"/>
      <c r="T11" s="66"/>
      <c r="U11" s="66"/>
      <c r="V11" s="65"/>
      <c r="W11" s="65"/>
      <c r="X11" s="65"/>
      <c r="Y11" s="65"/>
      <c r="Z11" s="65"/>
      <c r="AA11" s="65"/>
      <c r="AB11" s="65"/>
      <c r="AC11" s="65"/>
    </row>
    <row r="12" spans="1:30" s="67" customFormat="1" x14ac:dyDescent="0.25">
      <c r="A12" s="62"/>
      <c r="B12" s="63"/>
      <c r="C12" s="78" t="s">
        <v>98</v>
      </c>
      <c r="D12" s="78"/>
      <c r="E12" s="78"/>
      <c r="F12" s="78"/>
      <c r="G12" s="78"/>
      <c r="H12" s="78"/>
      <c r="I12" s="78"/>
      <c r="J12" s="78"/>
      <c r="K12" s="78"/>
      <c r="L12" s="65"/>
      <c r="M12" s="65"/>
      <c r="N12" s="66"/>
      <c r="O12" s="66"/>
      <c r="P12" s="66"/>
      <c r="Q12" s="66"/>
      <c r="R12" s="66"/>
      <c r="S12" s="66"/>
      <c r="T12" s="66"/>
      <c r="U12" s="66"/>
      <c r="V12" s="65"/>
      <c r="W12" s="65"/>
      <c r="X12" s="65"/>
      <c r="Y12" s="65"/>
      <c r="Z12" s="65"/>
      <c r="AA12" s="65"/>
      <c r="AB12" s="65"/>
      <c r="AC12" s="65"/>
    </row>
    <row r="13" spans="1:30" x14ac:dyDescent="0.25">
      <c r="A13" s="56"/>
      <c r="C13" s="47" t="s">
        <v>105</v>
      </c>
      <c r="D13" s="47">
        <v>10</v>
      </c>
      <c r="E13" s="47">
        <v>20</v>
      </c>
      <c r="F13" s="47">
        <v>30</v>
      </c>
      <c r="G13" s="47">
        <v>40</v>
      </c>
      <c r="H13" s="47">
        <v>50</v>
      </c>
      <c r="I13" s="48">
        <v>60</v>
      </c>
      <c r="J13" s="47">
        <v>70</v>
      </c>
      <c r="K13" s="48">
        <v>80</v>
      </c>
      <c r="N13" s="3"/>
      <c r="V13" s="34"/>
      <c r="AD13"/>
    </row>
    <row r="14" spans="1:30" x14ac:dyDescent="0.25">
      <c r="A14" s="55" t="s">
        <v>8</v>
      </c>
      <c r="B14" s="69" t="s">
        <v>9</v>
      </c>
      <c r="C14" s="71">
        <f>$C$8/3600/(($C$6/1000)*($C$7/1000))</f>
        <v>0.59523809523809534</v>
      </c>
      <c r="D14" s="71">
        <f t="shared" ref="D14:K14" si="0">$C$8/3600/(($C$6/1000)*($C$7/1000))</f>
        <v>0.59523809523809534</v>
      </c>
      <c r="E14" s="71">
        <f t="shared" si="0"/>
        <v>0.59523809523809534</v>
      </c>
      <c r="F14" s="71">
        <f t="shared" si="0"/>
        <v>0.59523809523809534</v>
      </c>
      <c r="G14" s="71">
        <f t="shared" si="0"/>
        <v>0.59523809523809534</v>
      </c>
      <c r="H14" s="71">
        <f t="shared" si="0"/>
        <v>0.59523809523809534</v>
      </c>
      <c r="I14" s="71">
        <f t="shared" si="0"/>
        <v>0.59523809523809534</v>
      </c>
      <c r="J14" s="71">
        <f t="shared" si="0"/>
        <v>0.59523809523809534</v>
      </c>
      <c r="K14" s="71">
        <f t="shared" si="0"/>
        <v>0.59523809523809534</v>
      </c>
    </row>
    <row r="15" spans="1:30" ht="18" x14ac:dyDescent="0.35">
      <c r="A15" s="57" t="s">
        <v>99</v>
      </c>
      <c r="B15" s="69" t="s">
        <v>2</v>
      </c>
      <c r="C15" s="71" t="str">
        <f>IF('dPs vs Alfa'!B8+0.5*1.2*C14^2&lt;1,"&lt;1",IF('dPs vs Alfa'!B8+0.5*1.2*C14^2&gt;2000,"&gt;2000",'dPs vs Alfa'!B8+0.5*1.2*C14^2))</f>
        <v>&lt;1</v>
      </c>
      <c r="D15" s="71" t="str">
        <f>IF('dPs vs Alfa'!C8+0.5*1.2*D14^2&lt;1,"&lt;1",IF('dPs vs Alfa'!C8+0.5*1.2*D14^2&gt;2000,"&gt;2000",'dPs vs Alfa'!C8+0.5*1.2*D14^2))</f>
        <v>&lt;1</v>
      </c>
      <c r="E15" s="71" t="str">
        <f>IF('dPs vs Alfa'!D8+0.5*1.2*E14^2&lt;1,"&lt;1",IF('dPs vs Alfa'!D8+0.5*1.2*E14^2&gt;2000,"&gt;2000",'dPs vs Alfa'!D8+0.5*1.2*E14^2))</f>
        <v>&lt;1</v>
      </c>
      <c r="F15" s="71">
        <f>IF('dPs vs Alfa'!E8+0.5*1.2*F14^2&lt;1,"&lt;1",IF('dPs vs Alfa'!E8+0.5*1.2*F14^2&gt;2000,"&gt;2000",'dPs vs Alfa'!E8+0.5*1.2*F14^2))</f>
        <v>1.7197515007767066</v>
      </c>
      <c r="G15" s="71">
        <f>IF('dPs vs Alfa'!F8+0.5*1.2*G14^2&lt;1,"&lt;1",IF('dPs vs Alfa'!F8+0.5*1.2*G14^2&gt;2000,"&gt;2000",'dPs vs Alfa'!F8+0.5*1.2*G14^2))</f>
        <v>5.7619152864993106</v>
      </c>
      <c r="H15" s="71">
        <f>IF('dPs vs Alfa'!G8+0.5*1.2*H14^2&lt;1,"&lt;1",IF('dPs vs Alfa'!G8+0.5*1.2*H14^2&gt;2000,"&gt;2000",'dPs vs Alfa'!G8+0.5*1.2*H14^2))</f>
        <v>20.645010336900494</v>
      </c>
      <c r="I15" s="71">
        <f>IF('dPs vs Alfa'!H8+0.5*1.2*I14^2&lt;1,"&lt;1",IF('dPs vs Alfa'!H8+0.5*1.2*I14^2&gt;2000,"&gt;2000",'dPs vs Alfa'!H8+0.5*1.2*I14^2))</f>
        <v>75.444006622420488</v>
      </c>
      <c r="J15" s="71">
        <f>IF('dPs vs Alfa'!I8+0.5*1.2*J14^2&lt;1,"&lt;1",IF('dPs vs Alfa'!I8+0.5*1.2*J14^2&gt;2000,"&gt;2000",'dPs vs Alfa'!I8+0.5*1.2*J14^2))</f>
        <v>277.21185018796223</v>
      </c>
      <c r="K15" s="71">
        <f>IF('dPs vs Alfa'!J8+0.5*1.2*K14^2&lt;1,"&lt;1",IF('dPs vs Alfa'!J8+0.5*1.2*K14^2&gt;2000,"&gt;2000",'dPs vs Alfa'!J8+0.5*1.2*K14^2))</f>
        <v>1020.1134625637754</v>
      </c>
    </row>
    <row r="16" spans="1:30" ht="18" x14ac:dyDescent="0.35">
      <c r="A16" s="57" t="s">
        <v>104</v>
      </c>
      <c r="B16" s="69" t="s">
        <v>2</v>
      </c>
      <c r="C16" s="71" t="str">
        <f>IF('dPs vs Alfa'!B8&lt;1,"&lt;1",IF('dPs vs Alfa'!B8&gt;2000,"&gt;2000",'dPs vs Alfa'!B8))</f>
        <v>&lt;1</v>
      </c>
      <c r="D16" s="71" t="str">
        <f>IF('dPs vs Alfa'!C8&lt;1,"&lt;1",IF('dPs vs Alfa'!C8&gt;2000,"&gt;2000",'dPs vs Alfa'!C8))</f>
        <v>&lt;1</v>
      </c>
      <c r="E16" s="71" t="str">
        <f>IF('dPs vs Alfa'!D8&lt;1,"&lt;1",IF('dPs vs Alfa'!D8&gt;2000,"&gt;2000",'dPs vs Alfa'!D8))</f>
        <v>&lt;1</v>
      </c>
      <c r="F16" s="71">
        <f>IF('dPs vs Alfa'!E8&lt;1,"&lt;1",IF('dPs vs Alfa'!E8&gt;2000,"&gt;2000",'dPs vs Alfa'!E8))</f>
        <v>1.5071664667631011</v>
      </c>
      <c r="G16" s="71">
        <f>IF('dPs vs Alfa'!F8&lt;1,"&lt;1",IF('dPs vs Alfa'!F8&gt;2000,"&gt;2000",'dPs vs Alfa'!F8))</f>
        <v>5.5493302524857047</v>
      </c>
      <c r="H16" s="71">
        <f>IF('dPs vs Alfa'!G8&lt;1,"&lt;1",IF('dPs vs Alfa'!G8&gt;2000,"&gt;2000",'dPs vs Alfa'!G8))</f>
        <v>20.432425302886887</v>
      </c>
      <c r="I16" s="71">
        <f>IF('dPs vs Alfa'!H8&lt;1,"&lt;1",IF('dPs vs Alfa'!H8&gt;2000,"&gt;2000",'dPs vs Alfa'!H8))</f>
        <v>75.231421588406889</v>
      </c>
      <c r="J16" s="71">
        <f>IF('dPs vs Alfa'!I8&lt;1,"&lt;1",IF('dPs vs Alfa'!I8&gt;2000,"&gt;2000",'dPs vs Alfa'!I8))</f>
        <v>276.99926515394861</v>
      </c>
      <c r="K16" s="71">
        <f>IF('dPs vs Alfa'!J8&lt;1,"&lt;1",IF('dPs vs Alfa'!J8&gt;2000,"&gt;2000",'dPs vs Alfa'!J8))</f>
        <v>1019.9008775297618</v>
      </c>
    </row>
    <row r="17" spans="1:11" ht="18" x14ac:dyDescent="0.35">
      <c r="A17" s="58" t="s">
        <v>97</v>
      </c>
      <c r="B17" s="69" t="str">
        <f>CONCATENATE("[",C9,"]")</f>
        <v>[dB(A)]</v>
      </c>
      <c r="C17" s="70" t="str">
        <f>IF($C$9="dB(A)",IF('Sound Power'!V4&lt;20,"&lt;20",IF('Sound Power'!V4&gt;90,"&gt;90",'Sound Power'!V4)),IF('Sound Power'!W4&lt;15,"&lt;15",IF('Sound Power'!W4&gt;90,"&gt;90",'Sound Power'!W4)))</f>
        <v>&lt;20</v>
      </c>
      <c r="D17" s="70" t="str">
        <f>IF($C$9="dB(A)",IF('Sound Power'!V5&lt;20,"&lt;20",IF('Sound Power'!V5&gt;90,"&gt;90",'Sound Power'!V5)),IF('Sound Power'!W5&lt;15,"&lt;15",IF('Sound Power'!W5&gt;90,"&gt;90",'Sound Power'!W5)))</f>
        <v>&lt;20</v>
      </c>
      <c r="E17" s="70" t="str">
        <f>IF($C$9="dB(A)",IF('Sound Power'!V6&lt;20,"&lt;20",IF('Sound Power'!V6&gt;90,"&gt;90",'Sound Power'!V6)),IF('Sound Power'!W6&lt;15,"&lt;15",IF('Sound Power'!W6&gt;90,"&gt;90",'Sound Power'!W6)))</f>
        <v>&lt;20</v>
      </c>
      <c r="F17" s="70">
        <f>IF($C$9="dB(A)",IF('Sound Power'!V7&lt;20,"&lt;20",IF('Sound Power'!V7&gt;90,"&gt;90",'Sound Power'!V7)),IF('Sound Power'!W7&lt;15,"&lt;15",IF('Sound Power'!W7&gt;90,"&gt;90",'Sound Power'!W7)))</f>
        <v>24.479462751332434</v>
      </c>
      <c r="G17" s="70">
        <f>IF($C$9="dB(A)",IF('Sound Power'!V8&lt;20,"&lt;20",IF('Sound Power'!V8&gt;90,"&gt;90",'Sound Power'!V8)),IF('Sound Power'!W8&lt;15,"&lt;15",IF('Sound Power'!W8&gt;90,"&gt;90",'Sound Power'!W8)))</f>
        <v>32.483885416621007</v>
      </c>
      <c r="H17" s="70">
        <f>IF($C$9="dB(A)",IF('Sound Power'!V9&lt;20,"&lt;20",IF('Sound Power'!V9&gt;90,"&gt;90",'Sound Power'!V9)),IF('Sound Power'!W9&lt;15,"&lt;15",IF('Sound Power'!W9&gt;90,"&gt;90",'Sound Power'!W9)))</f>
        <v>41.950340168938226</v>
      </c>
      <c r="I17" s="70">
        <f>IF($C$9="dB(A)",IF('Sound Power'!V10&lt;20,"&lt;20",IF('Sound Power'!V10&gt;90,"&gt;90",'Sound Power'!V10)),IF('Sound Power'!W10&lt;15,"&lt;15",IF('Sound Power'!W10&gt;90,"&gt;90",'Sound Power'!W10)))</f>
        <v>53.171854417704232</v>
      </c>
      <c r="J17" s="70">
        <f>IF($C$9="dB(A)",IF('Sound Power'!V11&lt;20,"&lt;20",IF('Sound Power'!V11&gt;90,"&gt;90",'Sound Power'!V11)),IF('Sound Power'!W11&lt;15,"&lt;15",IF('Sound Power'!W11&gt;90,"&gt;90",'Sound Power'!W11)))</f>
        <v>65.826376540893804</v>
      </c>
      <c r="K17" s="70">
        <f>IF($C$9="dB(A)",IF('Sound Power'!V12&lt;20,"&lt;20",IF('Sound Power'!V12&gt;90,"&gt;90",'Sound Power'!V12)),IF('Sound Power'!W12&lt;15,"&lt;15",IF('Sound Power'!W12&gt;90,"&gt;90",'Sound Power'!W12)))</f>
        <v>79.581804425576678</v>
      </c>
    </row>
    <row r="18" spans="1:11" x14ac:dyDescent="0.25">
      <c r="A18" s="59" t="s">
        <v>88</v>
      </c>
      <c r="B18" s="53" t="s">
        <v>89</v>
      </c>
      <c r="C18" s="70" t="str">
        <f>IF(ISTEXT(C17),"-",IF(OR('Sound Power'!N4&lt;15,'Sound Power'!N4=""),"&lt;15",'Sound Power'!N4))</f>
        <v>-</v>
      </c>
      <c r="D18" s="70" t="str">
        <f>IF(ISTEXT(D17),"-",IF(OR('Sound Power'!N5&lt;15,'Sound Power'!N5=""),"&lt;15",'Sound Power'!N5))</f>
        <v>-</v>
      </c>
      <c r="E18" s="70" t="str">
        <f>IF(ISTEXT(E17),"-",IF(OR('Sound Power'!N6&lt;15,'Sound Power'!N6=""),"&lt;15",'Sound Power'!N6))</f>
        <v>-</v>
      </c>
      <c r="F18" s="70">
        <f>IF(ISTEXT(F17),"-",IF(OR('Sound Power'!N7&lt;15,'Sound Power'!N7=""),"&lt;15",'Sound Power'!N7))</f>
        <v>48.634256521124314</v>
      </c>
      <c r="G18" s="70">
        <f>IF(ISTEXT(G17),"-",IF(OR('Sound Power'!N8&lt;15,'Sound Power'!N8=""),"&lt;15",'Sound Power'!N8))</f>
        <v>55.094107556055945</v>
      </c>
      <c r="H18" s="70">
        <f>IF(ISTEXT(H17),"-",IF(OR('Sound Power'!N9&lt;15,'Sound Power'!N9=""),"&lt;15",'Sound Power'!N9))</f>
        <v>61.553957636068276</v>
      </c>
      <c r="I18" s="70">
        <f>IF(ISTEXT(I17),"-",IF(OR('Sound Power'!N10&lt;15,'Sound Power'!N10=""),"&lt;15",'Sound Power'!N10))</f>
        <v>68.01380721955573</v>
      </c>
      <c r="J18" s="70">
        <f>IF(ISTEXT(J17),"-",IF(OR('Sound Power'!N11&lt;15,'Sound Power'!N11=""),"&lt;15",'Sound Power'!N11))</f>
        <v>74.473656543407273</v>
      </c>
      <c r="K18" s="70">
        <f>IF(ISTEXT(K17),"-",IF(OR('Sound Power'!N12&lt;15,'Sound Power'!N12=""),"&lt;15",'Sound Power'!N12))</f>
        <v>80.933505729873048</v>
      </c>
    </row>
    <row r="19" spans="1:11" x14ac:dyDescent="0.25">
      <c r="A19" s="60"/>
      <c r="B19" s="53" t="s">
        <v>90</v>
      </c>
      <c r="C19" s="70" t="str">
        <f>IF(ISTEXT(C17),"-",IF(OR('Sound Power'!O4&lt;15,'Sound Power'!O4=""),"&lt;15",'Sound Power'!O4))</f>
        <v>-</v>
      </c>
      <c r="D19" s="70" t="str">
        <f>IF(ISTEXT(D17),"-",IF(OR('Sound Power'!O5&lt;15,'Sound Power'!O5=""),"&lt;15",'Sound Power'!O5))</f>
        <v>-</v>
      </c>
      <c r="E19" s="70" t="str">
        <f>IF(ISTEXT(E17),"-",IF(OR('Sound Power'!O6&lt;15,'Sound Power'!O6=""),"&lt;15",'Sound Power'!O6))</f>
        <v>-</v>
      </c>
      <c r="F19" s="70">
        <f>IF(ISTEXT(F17),"-",IF(OR('Sound Power'!O7&lt;15,'Sound Power'!O7=""),"&lt;15",'Sound Power'!O7))</f>
        <v>33.888307687263989</v>
      </c>
      <c r="G19" s="70">
        <f>IF(ISTEXT(G17),"-",IF(OR('Sound Power'!O8&lt;15,'Sound Power'!O8=""),"&lt;15",'Sound Power'!O8))</f>
        <v>41.537112284806852</v>
      </c>
      <c r="H19" s="70">
        <f>IF(ISTEXT(H17),"-",IF(OR('Sound Power'!O9&lt;15,'Sound Power'!O9=""),"&lt;15",'Sound Power'!O9))</f>
        <v>49.185912644296423</v>
      </c>
      <c r="I19" s="70">
        <f>IF(ISTEXT(I17),"-",IF(OR('Sound Power'!O10&lt;15,'Sound Power'!O10=""),"&lt;15",'Sound Power'!O10))</f>
        <v>56.834710795691748</v>
      </c>
      <c r="J19" s="70">
        <f>IF(ISTEXT(J17),"-",IF(OR('Sound Power'!O11&lt;15,'Sound Power'!O11=""),"&lt;15",'Sound Power'!O11))</f>
        <v>64.483507794469347</v>
      </c>
      <c r="K19" s="70">
        <f>IF(ISTEXT(K17),"-",IF(OR('Sound Power'!O12&lt;15,'Sound Power'!O12=""),"&lt;15",'Sound Power'!O12))</f>
        <v>72.132304194025721</v>
      </c>
    </row>
    <row r="20" spans="1:11" x14ac:dyDescent="0.25">
      <c r="A20" s="60"/>
      <c r="B20" s="53" t="s">
        <v>91</v>
      </c>
      <c r="C20" s="70" t="str">
        <f>IF(ISTEXT(C17),"-",IF(OR('Sound Power'!P4&lt;15,'Sound Power'!P4=""),"&lt;15",'Sound Power'!P4))</f>
        <v>-</v>
      </c>
      <c r="D20" s="70" t="str">
        <f>IF(ISTEXT(D17),"-",IF(OR('Sound Power'!P5&lt;15,'Sound Power'!P5=""),"&lt;15",'Sound Power'!P5))</f>
        <v>-</v>
      </c>
      <c r="E20" s="70" t="str">
        <f>IF(ISTEXT(E17),"-",IF(OR('Sound Power'!P6&lt;15,'Sound Power'!P6=""),"&lt;15",'Sound Power'!P6))</f>
        <v>-</v>
      </c>
      <c r="F20" s="70">
        <f>IF(ISTEXT(F17),"-",IF(OR('Sound Power'!P7&lt;15,'Sound Power'!P7=""),"&lt;15",'Sound Power'!P7))</f>
        <v>21.903137190672652</v>
      </c>
      <c r="G20" s="70">
        <f>IF(ISTEXT(G17),"-",IF(OR('Sound Power'!P8&lt;15,'Sound Power'!P8=""),"&lt;15",'Sound Power'!P8))</f>
        <v>31.988954533860863</v>
      </c>
      <c r="H20" s="70">
        <f>IF(ISTEXT(H17),"-",IF(OR('Sound Power'!P9&lt;15,'Sound Power'!P9=""),"&lt;15",'Sound Power'!P9))</f>
        <v>42.074764313967421</v>
      </c>
      <c r="I20" s="70">
        <f>IF(ISTEXT(I17),"-",IF(OR('Sound Power'!P10&lt;15,'Sound Power'!P10=""),"&lt;15",'Sound Power'!P10))</f>
        <v>52.160570151733381</v>
      </c>
      <c r="J20" s="70">
        <f>IF(ISTEXT(J17),"-",IF(OR('Sound Power'!P11&lt;15,'Sound Power'!P11=""),"&lt;15",'Sound Power'!P11))</f>
        <v>62.246373936322456</v>
      </c>
      <c r="K20" s="70">
        <f>IF(ISTEXT(K17),"-",IF(OR('Sound Power'!P12&lt;15,'Sound Power'!P12=""),"&lt;15",'Sound Power'!P12))</f>
        <v>72.33217665057245</v>
      </c>
    </row>
    <row r="21" spans="1:11" x14ac:dyDescent="0.25">
      <c r="A21" s="60"/>
      <c r="B21" s="53" t="s">
        <v>92</v>
      </c>
      <c r="C21" s="70" t="str">
        <f>IF(ISTEXT(C17),"-",IF(OR('Sound Power'!Q4&lt;15,'Sound Power'!Q4=""),"&lt;15",'Sound Power'!Q4))</f>
        <v>-</v>
      </c>
      <c r="D21" s="70" t="str">
        <f>IF(ISTEXT(D17),"-",IF(OR('Sound Power'!Q5&lt;15,'Sound Power'!Q5=""),"&lt;15",'Sound Power'!Q5))</f>
        <v>-</v>
      </c>
      <c r="E21" s="70" t="str">
        <f>IF(ISTEXT(E17),"-",IF(OR('Sound Power'!Q6&lt;15,'Sound Power'!Q6=""),"&lt;15",'Sound Power'!Q6))</f>
        <v>-</v>
      </c>
      <c r="F21" s="70">
        <f>IF(ISTEXT(F17),"-",IF(OR('Sound Power'!Q7&lt;15,'Sound Power'!Q7=""),"&lt;15",'Sound Power'!Q7))</f>
        <v>16.489880292868122</v>
      </c>
      <c r="G21" s="70">
        <f>IF(ISTEXT(G17),"-",IF(OR('Sound Power'!Q8&lt;15,'Sound Power'!Q8=""),"&lt;15",'Sound Power'!Q8))</f>
        <v>28.71672054420057</v>
      </c>
      <c r="H21" s="70">
        <f>IF(ISTEXT(H17),"-",IF(OR('Sound Power'!Q9&lt;15,'Sound Power'!Q9=""),"&lt;15",'Sound Power'!Q9))</f>
        <v>40.943555043481524</v>
      </c>
      <c r="I21" s="70">
        <f>IF(ISTEXT(I17),"-",IF(OR('Sound Power'!Q10&lt;15,'Sound Power'!Q10=""),"&lt;15",'Sound Power'!Q10))</f>
        <v>53.170386544823558</v>
      </c>
      <c r="J21" s="70">
        <f>IF(ISTEXT(J17),"-",IF(OR('Sound Power'!Q11&lt;15,'Sound Power'!Q11=""),"&lt;15",'Sound Power'!Q11))</f>
        <v>65.397216482380244</v>
      </c>
      <c r="K21" s="70">
        <f>IF(ISTEXT(K17),"-",IF(OR('Sound Power'!Q12&lt;15,'Sound Power'!Q12=""),"&lt;15",'Sound Power'!Q12))</f>
        <v>77.624045604706154</v>
      </c>
    </row>
    <row r="22" spans="1:11" x14ac:dyDescent="0.25">
      <c r="A22" s="60"/>
      <c r="B22" s="53" t="s">
        <v>93</v>
      </c>
      <c r="C22" s="70" t="str">
        <f>IF(ISTEXT(C17),"-",IF(OR('Sound Power'!R4&lt;15,'Sound Power'!R4=""),"&lt;15",'Sound Power'!R4))</f>
        <v>-</v>
      </c>
      <c r="D22" s="70" t="str">
        <f>IF(ISTEXT(D17),"-",IF(OR('Sound Power'!R5&lt;15,'Sound Power'!R5=""),"&lt;15",'Sound Power'!R5))</f>
        <v>-</v>
      </c>
      <c r="E22" s="70" t="str">
        <f>IF(ISTEXT(E17),"-",IF(OR('Sound Power'!R6&lt;15,'Sound Power'!R6=""),"&lt;15",'Sound Power'!R6))</f>
        <v>-</v>
      </c>
      <c r="F22" s="70" t="str">
        <f>IF(ISTEXT(F17),"-",IF(OR('Sound Power'!R7&lt;15,'Sound Power'!R7=""),"&lt;15",'Sound Power'!R7))</f>
        <v>&lt;15</v>
      </c>
      <c r="G22" s="70">
        <f>IF(ISTEXT(G17),"-",IF(OR('Sound Power'!R8&lt;15,'Sound Power'!R8=""),"&lt;15",'Sound Power'!R8))</f>
        <v>18.111124498562077</v>
      </c>
      <c r="H22" s="70">
        <f>IF(ISTEXT(H17),"-",IF(OR('Sound Power'!R9&lt;15,'Sound Power'!R9=""),"&lt;15",'Sound Power'!R9))</f>
        <v>32.184999870553582</v>
      </c>
      <c r="I22" s="70">
        <f>IF(ISTEXT(I17),"-",IF(OR('Sound Power'!R10&lt;15,'Sound Power'!R10=""),"&lt;15",'Sound Power'!R10))</f>
        <v>46.258873679902422</v>
      </c>
      <c r="J22" s="70">
        <f>IF(ISTEXT(J17),"-",IF(OR('Sound Power'!R11&lt;15,'Sound Power'!R11=""),"&lt;15",'Sound Power'!R11))</f>
        <v>60.332746670032279</v>
      </c>
      <c r="K22" s="70">
        <f>IF(ISTEXT(K17),"-",IF(OR('Sound Power'!R12&lt;15,'Sound Power'!R12=""),"&lt;15",'Sound Power'!R12))</f>
        <v>74.406619239543431</v>
      </c>
    </row>
    <row r="23" spans="1:11" x14ac:dyDescent="0.25">
      <c r="A23" s="60"/>
      <c r="B23" s="53" t="s">
        <v>94</v>
      </c>
      <c r="C23" s="70" t="str">
        <f>IF(ISTEXT(C17),"-",IF(OR('Sound Power'!S4&lt;15,'Sound Power'!S4=""),"&lt;15",'Sound Power'!S4))</f>
        <v>-</v>
      </c>
      <c r="D23" s="70" t="str">
        <f>IF(ISTEXT(D17),"-",IF(OR('Sound Power'!S5&lt;15,'Sound Power'!S5=""),"&lt;15",'Sound Power'!S5))</f>
        <v>-</v>
      </c>
      <c r="E23" s="70" t="str">
        <f>IF(ISTEXT(E17),"-",IF(OR('Sound Power'!S6&lt;15,'Sound Power'!S6=""),"&lt;15",'Sound Power'!S6))</f>
        <v>-</v>
      </c>
      <c r="F23" s="70" t="str">
        <f>IF(ISTEXT(F17),"-",IF(OR('Sound Power'!S7&lt;15,'Sound Power'!S7=""),"&lt;15",'Sound Power'!S7))</f>
        <v>&lt;15</v>
      </c>
      <c r="G23" s="70" t="str">
        <f>IF(ISTEXT(G17),"-",IF(OR('Sound Power'!S8&lt;15,'Sound Power'!S8=""),"&lt;15",'Sound Power'!S8))</f>
        <v>&lt;15</v>
      </c>
      <c r="H23" s="70">
        <f>IF(ISTEXT(H17),"-",IF(OR('Sound Power'!S9&lt;15,'Sound Power'!S9=""),"&lt;15",'Sound Power'!S9))</f>
        <v>23.843319720487102</v>
      </c>
      <c r="I23" s="70">
        <f>IF(ISTEXT(I17),"-",IF(OR('Sound Power'!S10&lt;15,'Sound Power'!S10=""),"&lt;15",'Sound Power'!S10))</f>
        <v>40.04856911486192</v>
      </c>
      <c r="J23" s="70">
        <f>IF(ISTEXT(J17),"-",IF(OR('Sound Power'!S11&lt;15,'Sound Power'!S11=""),"&lt;15",'Sound Power'!S11))</f>
        <v>56.253817864425201</v>
      </c>
      <c r="K23" s="70">
        <f>IF(ISTEXT(K17),"-",IF(OR('Sound Power'!S12&lt;15,'Sound Power'!S12=""),"&lt;15",'Sound Power'!S12))</f>
        <v>72.459066282788655</v>
      </c>
    </row>
    <row r="24" spans="1:11" x14ac:dyDescent="0.25">
      <c r="A24" s="60"/>
      <c r="B24" s="53" t="s">
        <v>95</v>
      </c>
      <c r="C24" s="70" t="str">
        <f>IF(ISTEXT(C17),"-",IF(OR('Sound Power'!T4&lt;15,'Sound Power'!T4=""),"&lt;15",'Sound Power'!T4))</f>
        <v>-</v>
      </c>
      <c r="D24" s="70" t="str">
        <f>IF(ISTEXT(D17),"-",IF(OR('Sound Power'!T5&lt;15,'Sound Power'!T5=""),"&lt;15",'Sound Power'!T5))</f>
        <v>-</v>
      </c>
      <c r="E24" s="70" t="str">
        <f>IF(ISTEXT(E17),"-",IF(OR('Sound Power'!T6&lt;15,'Sound Power'!T6=""),"&lt;15",'Sound Power'!T6))</f>
        <v>-</v>
      </c>
      <c r="F24" s="70" t="str">
        <f>IF(ISTEXT(F17),"-",IF(OR('Sound Power'!T7&lt;15,'Sound Power'!T7=""),"&lt;15",'Sound Power'!T7))</f>
        <v>&lt;15</v>
      </c>
      <c r="G24" s="70" t="str">
        <f>IF(ISTEXT(G17),"-",IF(OR('Sound Power'!T8&lt;15,'Sound Power'!T8=""),"&lt;15",'Sound Power'!T8))</f>
        <v>&lt;15</v>
      </c>
      <c r="H24" s="70">
        <f>IF(ISTEXT(H17),"-",IF(OR('Sound Power'!T9&lt;15,'Sound Power'!T9=""),"&lt;15",'Sound Power'!T9))</f>
        <v>15.557188759457574</v>
      </c>
      <c r="I24" s="70">
        <f>IF(ISTEXT(I17),"-",IF(OR('Sound Power'!T10&lt;15,'Sound Power'!T10=""),"&lt;15",'Sound Power'!T10))</f>
        <v>33.222791775101001</v>
      </c>
      <c r="J24" s="70">
        <f>IF(ISTEXT(J17),"-",IF(OR('Sound Power'!T11&lt;15,'Sound Power'!T11=""),"&lt;15",'Sound Power'!T11))</f>
        <v>50.888394222658945</v>
      </c>
      <c r="K24" s="70">
        <f>IF(ISTEXT(K17),"-",IF(OR('Sound Power'!T12&lt;15,'Sound Power'!T12=""),"&lt;15",'Sound Power'!T12))</f>
        <v>68.553996375635037</v>
      </c>
    </row>
    <row r="25" spans="1:11" x14ac:dyDescent="0.25">
      <c r="A25" s="61"/>
      <c r="B25" s="53" t="s">
        <v>96</v>
      </c>
      <c r="C25" s="70" t="str">
        <f>IF(ISTEXT(C17),"-",IF(OR('Sound Power'!U4&lt;15,'Sound Power'!U4=""),"&lt;15",'Sound Power'!U4))</f>
        <v>-</v>
      </c>
      <c r="D25" s="70" t="str">
        <f>IF(ISTEXT(D17),"-",IF(OR('Sound Power'!U5&lt;15,'Sound Power'!U5=""),"&lt;15",'Sound Power'!U5))</f>
        <v>-</v>
      </c>
      <c r="E25" s="70" t="str">
        <f>IF(ISTEXT(E17),"-",IF(OR('Sound Power'!U6&lt;15,'Sound Power'!U6=""),"&lt;15",'Sound Power'!U6))</f>
        <v>-</v>
      </c>
      <c r="F25" s="70" t="str">
        <f>IF(ISTEXT(F17),"-",IF(OR('Sound Power'!U7&lt;15,'Sound Power'!U7=""),"&lt;15",'Sound Power'!U7))</f>
        <v>&lt;15</v>
      </c>
      <c r="G25" s="70" t="str">
        <f>IF(ISTEXT(G17),"-",IF(OR('Sound Power'!U8&lt;15,'Sound Power'!U8=""),"&lt;15",'Sound Power'!U8))</f>
        <v>&lt;15</v>
      </c>
      <c r="H25" s="70" t="str">
        <f>IF(ISTEXT(H17),"-",IF(OR('Sound Power'!U9&lt;15,'Sound Power'!U9=""),"&lt;15",'Sound Power'!U9))</f>
        <v>&lt;15</v>
      </c>
      <c r="I25" s="70">
        <f>IF(ISTEXT(I17),"-",IF(OR('Sound Power'!U10&lt;15,'Sound Power'!U10=""),"&lt;15",'Sound Power'!U10))</f>
        <v>25.871230504868493</v>
      </c>
      <c r="J25" s="70">
        <f>IF(ISTEXT(J17),"-",IF(OR('Sound Power'!U11&lt;15,'Sound Power'!U11=""),"&lt;15",'Sound Power'!U11))</f>
        <v>40.329326021949115</v>
      </c>
      <c r="K25" s="70">
        <f>IF(ISTEXT(K17),"-",IF(OR('Sound Power'!U12&lt;15,'Sound Power'!U12=""),"&lt;15",'Sound Power'!U12))</f>
        <v>54.787421038108391</v>
      </c>
    </row>
    <row r="26" spans="1:11" x14ac:dyDescent="0.25">
      <c r="K26" s="2"/>
    </row>
    <row r="27" spans="1:11" x14ac:dyDescent="0.25">
      <c r="G27" s="34"/>
      <c r="H27" s="34"/>
      <c r="I27" s="34"/>
      <c r="K27" s="75"/>
    </row>
    <row r="28" spans="1:11" x14ac:dyDescent="0.25">
      <c r="B28" s="76"/>
    </row>
    <row r="29" spans="1:11" x14ac:dyDescent="0.25">
      <c r="B29" s="76"/>
      <c r="C29" s="38"/>
      <c r="D29" s="34"/>
      <c r="E29" s="38"/>
      <c r="F29" s="34"/>
      <c r="G29" s="38"/>
      <c r="H29" s="34"/>
      <c r="K29" s="91"/>
    </row>
    <row r="30" spans="1:11" x14ac:dyDescent="0.25">
      <c r="B30" s="43"/>
    </row>
  </sheetData>
  <sheetProtection algorithmName="SHA-512" hashValue="1PTWR0VUoiQLpIfblwd89VUhmdryMKaRZnooN8W9tNCGR0sAR8XCaGZsW0fMAjX1NnBXn5XmpA8wbFixib1tAA==" saltValue="jK5r3Y/Rbz/Npta1UJ6b4w==" spinCount="100000" sheet="1" objects="1" scenarios="1"/>
  <mergeCells count="1">
    <mergeCell ref="C12:K12"/>
  </mergeCells>
  <conditionalFormatting sqref="C15:C25">
    <cfRule type="expression" dxfId="3" priority="5">
      <formula>IF(C$14&lt;0.5,TRUE(),FALSE())</formula>
    </cfRule>
    <cfRule type="expression" dxfId="2" priority="3">
      <formula>IF(MOD($C$7,100)=0,FALSE(),TRUE())</formula>
    </cfRule>
  </conditionalFormatting>
  <conditionalFormatting sqref="D15:K25">
    <cfRule type="expression" dxfId="0" priority="1">
      <formula>IF(MOD($C$7,100)=0,FALSE(),TRUE())</formula>
    </cfRule>
    <cfRule type="expression" dxfId="1" priority="2">
      <formula>IF(D$14&lt;0.5,TRUE(),FALSE())</formula>
    </cfRule>
  </conditionalFormatting>
  <pageMargins left="0.7" right="0.7" top="0.75" bottom="0.75" header="0.3" footer="0.3"/>
  <pageSetup paperSize="9" scale="33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PullDownMenu!$C$2:$C$6</xm:f>
          </x14:formula1>
          <xm:sqref>J1</xm:sqref>
        </x14:dataValidation>
        <x14:dataValidation type="list" allowBlank="1" showInputMessage="1" showErrorMessage="1">
          <x14:formula1>
            <xm:f>PullDownMenu!$A$2:$A$4</xm:f>
          </x14:formula1>
          <xm:sqref>C10</xm:sqref>
        </x14:dataValidation>
        <x14:dataValidation type="list" allowBlank="1" showInputMessage="1" showErrorMessage="1">
          <x14:formula1>
            <xm:f>PullDownMenu!$B$2:$B$3</xm:f>
          </x14:formula1>
          <xm:sqref>C9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"/>
  <sheetViews>
    <sheetView zoomScale="85" zoomScaleNormal="85" workbookViewId="0">
      <selection activeCell="Q16" sqref="Q16"/>
    </sheetView>
  </sheetViews>
  <sheetFormatPr defaultRowHeight="12.75" x14ac:dyDescent="0.2"/>
  <cols>
    <col min="1" max="5" width="9.140625" style="5"/>
    <col min="6" max="13" width="9.140625" style="15"/>
    <col min="14" max="31" width="9.140625" style="17"/>
    <col min="32" max="16384" width="9.140625" style="5"/>
  </cols>
  <sheetData>
    <row r="1" spans="1:31" s="6" customFormat="1" x14ac:dyDescent="0.2">
      <c r="A1" s="10"/>
      <c r="B1" s="10"/>
      <c r="C1" s="10"/>
      <c r="D1" s="10"/>
      <c r="E1" s="10"/>
      <c r="F1" s="82" t="s">
        <v>36</v>
      </c>
      <c r="G1" s="82"/>
      <c r="H1" s="82"/>
      <c r="I1" s="82"/>
      <c r="J1" s="82"/>
      <c r="K1" s="82"/>
      <c r="L1" s="82"/>
      <c r="M1" s="82"/>
      <c r="N1" s="83" t="s">
        <v>11</v>
      </c>
      <c r="O1" s="83"/>
      <c r="P1" s="83"/>
      <c r="Q1" s="83"/>
      <c r="R1" s="83"/>
      <c r="S1" s="83"/>
      <c r="T1" s="83"/>
      <c r="U1" s="83"/>
      <c r="V1" s="83" t="s">
        <v>10</v>
      </c>
      <c r="W1" s="83"/>
      <c r="X1" s="83" t="s">
        <v>11</v>
      </c>
      <c r="Y1" s="83"/>
      <c r="Z1" s="83"/>
      <c r="AA1" s="83"/>
      <c r="AB1" s="83"/>
      <c r="AC1" s="83"/>
      <c r="AD1" s="83"/>
      <c r="AE1" s="83"/>
    </row>
    <row r="2" spans="1:31" s="6" customFormat="1" ht="14.25" x14ac:dyDescent="0.25">
      <c r="A2" s="11" t="s">
        <v>0</v>
      </c>
      <c r="B2" s="11" t="s">
        <v>0</v>
      </c>
      <c r="C2" s="14" t="s">
        <v>38</v>
      </c>
      <c r="D2" s="11" t="s">
        <v>3</v>
      </c>
      <c r="E2" s="11" t="s">
        <v>4</v>
      </c>
      <c r="F2" s="79" t="s">
        <v>64</v>
      </c>
      <c r="G2" s="80"/>
      <c r="H2" s="80"/>
      <c r="I2" s="80"/>
      <c r="J2" s="80"/>
      <c r="K2" s="80"/>
      <c r="L2" s="80"/>
      <c r="M2" s="80"/>
      <c r="N2" s="81" t="s">
        <v>50</v>
      </c>
      <c r="O2" s="81"/>
      <c r="P2" s="81"/>
      <c r="Q2" s="81"/>
      <c r="R2" s="81"/>
      <c r="S2" s="81"/>
      <c r="T2" s="81"/>
      <c r="U2" s="81"/>
      <c r="V2" s="81" t="s">
        <v>37</v>
      </c>
      <c r="W2" s="81"/>
      <c r="X2" s="81" t="s">
        <v>49</v>
      </c>
      <c r="Y2" s="81"/>
      <c r="Z2" s="81"/>
      <c r="AA2" s="81"/>
      <c r="AB2" s="81"/>
      <c r="AC2" s="81"/>
      <c r="AD2" s="81"/>
      <c r="AE2" s="81"/>
    </row>
    <row r="3" spans="1:31" x14ac:dyDescent="0.2">
      <c r="A3" s="12" t="str">
        <f>Calcul!B8</f>
        <v>[m³/h]</v>
      </c>
      <c r="B3" s="12" t="s">
        <v>1</v>
      </c>
      <c r="C3" s="12" t="s">
        <v>2</v>
      </c>
      <c r="D3" s="12" t="s">
        <v>21</v>
      </c>
      <c r="E3" s="12" t="s">
        <v>21</v>
      </c>
      <c r="F3" s="18">
        <v>63</v>
      </c>
      <c r="G3" s="18">
        <v>125</v>
      </c>
      <c r="H3" s="18">
        <v>250</v>
      </c>
      <c r="I3" s="18">
        <v>500</v>
      </c>
      <c r="J3" s="18">
        <v>1000</v>
      </c>
      <c r="K3" s="18">
        <v>2000</v>
      </c>
      <c r="L3" s="18">
        <v>4000</v>
      </c>
      <c r="M3" s="18">
        <v>8000</v>
      </c>
      <c r="N3" s="18">
        <v>63</v>
      </c>
      <c r="O3" s="18">
        <v>125</v>
      </c>
      <c r="P3" s="18">
        <v>250</v>
      </c>
      <c r="Q3" s="18">
        <v>500</v>
      </c>
      <c r="R3" s="18">
        <v>1000</v>
      </c>
      <c r="S3" s="18">
        <v>2000</v>
      </c>
      <c r="T3" s="18">
        <v>4000</v>
      </c>
      <c r="U3" s="18">
        <v>8000</v>
      </c>
      <c r="V3" s="16" t="s">
        <v>12</v>
      </c>
      <c r="W3" s="16" t="s">
        <v>20</v>
      </c>
      <c r="X3" s="32">
        <v>63</v>
      </c>
      <c r="Y3" s="32">
        <v>125</v>
      </c>
      <c r="Z3" s="32">
        <v>250</v>
      </c>
      <c r="AA3" s="32">
        <v>500</v>
      </c>
      <c r="AB3" s="32">
        <v>1000</v>
      </c>
      <c r="AC3" s="32">
        <v>2000</v>
      </c>
      <c r="AD3" s="32">
        <v>4000</v>
      </c>
      <c r="AE3" s="32">
        <v>8000</v>
      </c>
    </row>
    <row r="4" spans="1:31" x14ac:dyDescent="0.2">
      <c r="A4" s="5">
        <f>Calcul!$C$8</f>
        <v>1500</v>
      </c>
      <c r="B4" s="5">
        <f>A4*IF($A$3="[L/s]",3.6,IF($A$3="[m³/s]",1/3600,1))</f>
        <v>1500</v>
      </c>
      <c r="C4" s="17">
        <f>'dPs vs Alfa'!B8</f>
        <v>1.6238628160344399E-3</v>
      </c>
      <c r="D4" s="5">
        <f>Calcul!$C$6/1000</f>
        <v>1</v>
      </c>
      <c r="E4" s="5">
        <f>Calcul!$C$7/1000</f>
        <v>0.7</v>
      </c>
      <c r="F4" s="15">
        <f>DEGREES(ACOS(1-(1/'ModelParams Lw'!B$15*SQRT(0.5*1.2/'Sound Power'!$C4)*('Sound Power'!$B4/3600)/('Sound Power'!$D4)/('Sound Power'!$E4))))</f>
        <v>0.70970508286045741</v>
      </c>
      <c r="G4" s="15">
        <f>DEGREES(ACOS(1-(1/'ModelParams Lw'!C$15*SQRT(0.5*1.2/'Sound Power'!$C4)*('Sound Power'!$B4/3600)/('Sound Power'!$D4)/('Sound Power'!$E4))))</f>
        <v>1.3748030598090211</v>
      </c>
      <c r="H4" s="15">
        <f>DEGREES(ACOS(1-(1/'ModelParams Lw'!D$15*SQRT(0.5*1.2/'Sound Power'!$C4)*('Sound Power'!$B4/3600)/('Sound Power'!$D4)/('Sound Power'!$E4))))</f>
        <v>1.5993978678342395</v>
      </c>
      <c r="I4" s="15">
        <f>DEGREES(ACOS(1-(1/'ModelParams Lw'!E$15*SQRT(0.5*1.2/'Sound Power'!$C4)*('Sound Power'!$B4/3600)/('Sound Power'!$D4)/('Sound Power'!$E4))))</f>
        <v>1.2668298441179944</v>
      </c>
      <c r="J4" s="15">
        <f>DEGREES(ACOS(1-(1/'ModelParams Lw'!F$15*SQRT(0.5*1.2/'Sound Power'!$C4)*('Sound Power'!$B4/3600)/('Sound Power'!$D4)/('Sound Power'!$E4))))</f>
        <v>0.85245654726578179</v>
      </c>
      <c r="K4" s="15">
        <f>DEGREES(ACOS(1-(1/'ModelParams Lw'!G$15*SQRT(0.5*1.2/'Sound Power'!$C4)*('Sound Power'!$B4/3600)/('Sound Power'!$D4)/('Sound Power'!$E4))))</f>
        <v>0.7021937773631628</v>
      </c>
      <c r="L4" s="15">
        <f>DEGREES(ACOS(1-(1/'ModelParams Lw'!H$15*SQRT(0.5*1.2/'Sound Power'!$C4)*('Sound Power'!$B4/3600)/('Sound Power'!$D4)/('Sound Power'!$E4))))</f>
        <v>0.63349928740883144</v>
      </c>
      <c r="M4" s="15">
        <f>DEGREES(ACOS(1-(1/'ModelParams Lw'!I$15*SQRT(0.5*1.2/'Sound Power'!$C4)*('Sound Power'!$B4/3600)/('Sound Power'!$D4)/('Sound Power'!$E4))))</f>
        <v>0.92139573260301211</v>
      </c>
      <c r="N4" s="17">
        <f>IF(('ModelParams Lw'!B$4*LN('Sound Power'!F4)/(1+EXP(-('Sound Power'!$D4*1000+'ModelParams Lw'!B$6)/'ModelParams Lw'!B$7))+'ModelParams Lw'!B$5)*LN('Sound Power'!$B4)-('ModelParams Lw'!B$8+'ModelParams Lw'!B$9*$D4+'ModelParams Lw'!B$10*'Sound Power'!$E4^'ModelParams Lw'!B$14+'ModelParams Lw'!B$11*LN('Sound Power'!F4)+'ModelParams Lw'!B$12*'Sound Power'!$D4*'Sound Power'!$E4+'ModelParams Lw'!B$13*'Sound Power'!$D4*LN('Sound Power'!F4))&lt;0,"",('ModelParams Lw'!B$4*LN('Sound Power'!F4)/(1+EXP(-('Sound Power'!$D4*1000+'ModelParams Lw'!B$6)/'ModelParams Lw'!B$7))+'ModelParams Lw'!B$5)*LN('Sound Power'!$B4)-('ModelParams Lw'!B$8+'ModelParams Lw'!B$9*$D4+'ModelParams Lw'!B$10*'Sound Power'!$E4^'ModelParams Lw'!B$14+'ModelParams Lw'!B$11*LN('Sound Power'!F4)+'ModelParams Lw'!B$12*'Sound Power'!$D4*'Sound Power'!$E4+'ModelParams Lw'!B$13*'Sound Power'!$D4*LN('Sound Power'!F4)))</f>
        <v>14.769049752759003</v>
      </c>
      <c r="O4" s="17" t="str">
        <f>IF(('ModelParams Lw'!C$4*LN('Sound Power'!G4)/(1+EXP(-('Sound Power'!$D4*1000+'ModelParams Lw'!C$6)/'ModelParams Lw'!C$7))+'ModelParams Lw'!C$5)*LN('Sound Power'!$B4)-('ModelParams Lw'!C$8+'ModelParams Lw'!C$9*$D4+'ModelParams Lw'!C$10*'Sound Power'!$E4^'ModelParams Lw'!C$14+'ModelParams Lw'!C$11*LN('Sound Power'!G4)+'ModelParams Lw'!C$12*'Sound Power'!$D4*'Sound Power'!$E4+'ModelParams Lw'!C$13*'Sound Power'!$D4*LN('Sound Power'!G4))&lt;0,"",('ModelParams Lw'!C$4*LN('Sound Power'!G4)/(1+EXP(-('Sound Power'!$D4*1000+'ModelParams Lw'!C$6)/'ModelParams Lw'!C$7))+'ModelParams Lw'!C$5)*LN('Sound Power'!$B4)-('ModelParams Lw'!C$8+'ModelParams Lw'!C$9*$D4+'ModelParams Lw'!C$10*'Sound Power'!$E4^'ModelParams Lw'!C$14+'ModelParams Lw'!C$11*LN('Sound Power'!G4)+'ModelParams Lw'!C$12*'Sound Power'!$D4*'Sound Power'!$E4+'ModelParams Lw'!C$13*'Sound Power'!$D4*LN('Sound Power'!G4)))</f>
        <v/>
      </c>
      <c r="P4" s="17" t="str">
        <f>IF(('ModelParams Lw'!D$4*LN('Sound Power'!H4)/(1+EXP(-('Sound Power'!$D4*1000+'ModelParams Lw'!D$6)/'ModelParams Lw'!D$7))+'ModelParams Lw'!D$5)*LN('Sound Power'!$B4)-('ModelParams Lw'!D$8+'ModelParams Lw'!D$9*$D4+'ModelParams Lw'!D$10*'Sound Power'!$E4^'ModelParams Lw'!D$14+'ModelParams Lw'!D$11*LN('Sound Power'!H4)+'ModelParams Lw'!D$12*'Sound Power'!$D4*'Sound Power'!$E4+'ModelParams Lw'!D$13*'Sound Power'!$D4*LN('Sound Power'!H4))&lt;0,"",('ModelParams Lw'!D$4*LN('Sound Power'!H4)/(1+EXP(-('Sound Power'!$D4*1000+'ModelParams Lw'!D$6)/'ModelParams Lw'!D$7))+'ModelParams Lw'!D$5)*LN('Sound Power'!$B4)-('ModelParams Lw'!D$8+'ModelParams Lw'!D$9*$D4+'ModelParams Lw'!D$10*'Sound Power'!$E4^'ModelParams Lw'!D$14+'ModelParams Lw'!D$11*LN('Sound Power'!H4)+'ModelParams Lw'!D$12*'Sound Power'!$D4*'Sound Power'!$E4+'ModelParams Lw'!D$13*'Sound Power'!$D4*LN('Sound Power'!H4)))</f>
        <v/>
      </c>
      <c r="Q4" s="17" t="str">
        <f>IF(('ModelParams Lw'!E$4*LN('Sound Power'!I4)/(1+EXP(-('Sound Power'!$D4*1000+'ModelParams Lw'!E$6)/'ModelParams Lw'!E$7))+'ModelParams Lw'!E$5)*LN('Sound Power'!$B4)-('ModelParams Lw'!E$8+'ModelParams Lw'!E$9*$D4+'ModelParams Lw'!E$10*'Sound Power'!$E4^'ModelParams Lw'!E$14+'ModelParams Lw'!E$11*LN('Sound Power'!I4)+'ModelParams Lw'!E$12*'Sound Power'!$D4*'Sound Power'!$E4+'ModelParams Lw'!E$13*'Sound Power'!$D4*LN('Sound Power'!I4))&lt;0,"",('ModelParams Lw'!E$4*LN('Sound Power'!I4)/(1+EXP(-('Sound Power'!$D4*1000+'ModelParams Lw'!E$6)/'ModelParams Lw'!E$7))+'ModelParams Lw'!E$5)*LN('Sound Power'!$B4)-('ModelParams Lw'!E$8+'ModelParams Lw'!E$9*$D4+'ModelParams Lw'!E$10*'Sound Power'!$E4^'ModelParams Lw'!E$14+'ModelParams Lw'!E$11*LN('Sound Power'!I4)+'ModelParams Lw'!E$12*'Sound Power'!$D4*'Sound Power'!$E4+'ModelParams Lw'!E$13*'Sound Power'!$D4*LN('Sound Power'!I4)))</f>
        <v/>
      </c>
      <c r="R4" s="17" t="str">
        <f>IF(('ModelParams Lw'!F$4*LN('Sound Power'!J4)/(1+EXP(-('Sound Power'!$D4*1000+'ModelParams Lw'!F$6)/'ModelParams Lw'!F$7))+'ModelParams Lw'!F$5)*LN('Sound Power'!$B4)-('ModelParams Lw'!F$8+'ModelParams Lw'!F$9*$D4+'ModelParams Lw'!F$10*'Sound Power'!$E4^'ModelParams Lw'!F$14+'ModelParams Lw'!F$11*LN('Sound Power'!J4)+'ModelParams Lw'!F$12*'Sound Power'!$D4*'Sound Power'!$E4+'ModelParams Lw'!F$13*'Sound Power'!$D4*LN('Sound Power'!J4))&lt;0,"",('ModelParams Lw'!F$4*LN('Sound Power'!J4)/(1+EXP(-('Sound Power'!$D4*1000+'ModelParams Lw'!F$6)/'ModelParams Lw'!F$7))+'ModelParams Lw'!F$5)*LN('Sound Power'!$B4)-('ModelParams Lw'!F$8+'ModelParams Lw'!F$9*$D4+'ModelParams Lw'!F$10*'Sound Power'!$E4^'ModelParams Lw'!F$14+'ModelParams Lw'!F$11*LN('Sound Power'!J4)+'ModelParams Lw'!F$12*'Sound Power'!$D4*'Sound Power'!$E4+'ModelParams Lw'!F$13*'Sound Power'!$D4*LN('Sound Power'!J4)))</f>
        <v/>
      </c>
      <c r="S4" s="17" t="str">
        <f>IF(('ModelParams Lw'!G$4*LN('Sound Power'!K4)/(1+EXP(-('Sound Power'!$D4*1000+'ModelParams Lw'!G$6)/'ModelParams Lw'!G$7))+'ModelParams Lw'!G$5)*LN('Sound Power'!$B4)-('ModelParams Lw'!G$8+'ModelParams Lw'!G$9*$D4+'ModelParams Lw'!G$10*'Sound Power'!$E4^'ModelParams Lw'!G$14+'ModelParams Lw'!G$11*LN('Sound Power'!K4)+'ModelParams Lw'!G$12*'Sound Power'!$D4*'Sound Power'!$E4+'ModelParams Lw'!G$13*'Sound Power'!$D4*LN('Sound Power'!K4))&lt;0,"",('ModelParams Lw'!G$4*LN('Sound Power'!K4)/(1+EXP(-('Sound Power'!$D4*1000+'ModelParams Lw'!G$6)/'ModelParams Lw'!G$7))+'ModelParams Lw'!G$5)*LN('Sound Power'!$B4)-('ModelParams Lw'!G$8+'ModelParams Lw'!G$9*$D4+'ModelParams Lw'!G$10*'Sound Power'!$E4^'ModelParams Lw'!G$14+'ModelParams Lw'!G$11*LN('Sound Power'!K4)+'ModelParams Lw'!G$12*'Sound Power'!$D4*'Sound Power'!$E4+'ModelParams Lw'!G$13*'Sound Power'!$D4*LN('Sound Power'!K4)))</f>
        <v/>
      </c>
      <c r="T4" s="17" t="str">
        <f>IF(('ModelParams Lw'!H$4*LN('Sound Power'!L4)/(1+EXP(-('Sound Power'!$D4*1000+'ModelParams Lw'!H$6)/'ModelParams Lw'!H$7))+'ModelParams Lw'!H$5)*LN('Sound Power'!$B4)-('ModelParams Lw'!H$8+'ModelParams Lw'!H$9*$D4+'ModelParams Lw'!H$10*'Sound Power'!$E4^'ModelParams Lw'!H$14+'ModelParams Lw'!H$11*LN('Sound Power'!L4)+'ModelParams Lw'!H$12*'Sound Power'!$D4*'Sound Power'!$E4+'ModelParams Lw'!H$13*'Sound Power'!$D4*LN('Sound Power'!L4))&lt;0,"",('ModelParams Lw'!H$4*LN('Sound Power'!L4)/(1+EXP(-('Sound Power'!$D4*1000+'ModelParams Lw'!H$6)/'ModelParams Lw'!H$7))+'ModelParams Lw'!H$5)*LN('Sound Power'!$B4)-('ModelParams Lw'!H$8+'ModelParams Lw'!H$9*$D4+'ModelParams Lw'!H$10*'Sound Power'!$E4^'ModelParams Lw'!H$14+'ModelParams Lw'!H$11*LN('Sound Power'!L4)+'ModelParams Lw'!H$12*'Sound Power'!$D4*'Sound Power'!$E4+'ModelParams Lw'!H$13*'Sound Power'!$D4*LN('Sound Power'!L4)))</f>
        <v/>
      </c>
      <c r="U4" s="17" t="str">
        <f>IF(('ModelParams Lw'!I$4*LN('Sound Power'!M4)/(1+EXP(-('Sound Power'!$D4*1000+'ModelParams Lw'!I$6)/'ModelParams Lw'!I$7))+'ModelParams Lw'!I$5)*LN('Sound Power'!$B4)-('ModelParams Lw'!I$8+'ModelParams Lw'!I$9*$D4+'ModelParams Lw'!I$10*'Sound Power'!$E4^'ModelParams Lw'!I$14+'ModelParams Lw'!I$11*LN('Sound Power'!M4)+'ModelParams Lw'!I$12*'Sound Power'!$D4*'Sound Power'!$E4+'ModelParams Lw'!I$13*'Sound Power'!$D4*LN('Sound Power'!M4))&lt;0,"",('ModelParams Lw'!I$4*LN('Sound Power'!M4)/(1+EXP(-('Sound Power'!$D4*1000+'ModelParams Lw'!I$6)/'ModelParams Lw'!I$7))+'ModelParams Lw'!I$5)*LN('Sound Power'!$B4)-('ModelParams Lw'!I$8+'ModelParams Lw'!I$9*$D4+'ModelParams Lw'!I$10*'Sound Power'!$E4^'ModelParams Lw'!I$14+'ModelParams Lw'!I$11*LN('Sound Power'!M4)+'ModelParams Lw'!I$12*'Sound Power'!$D4*'Sound Power'!$E4+'ModelParams Lw'!I$13*'Sound Power'!$D4*LN('Sound Power'!M4)))</f>
        <v/>
      </c>
      <c r="V4" s="17">
        <f>IF(ISERR(10*LOG10(IF(N4="",0,POWER(10,((N4+'ModelParams Lw'!$O$4)/10))) +IF(O4="",0,POWER(10,((O4+'ModelParams Lw'!$P$4)/10))) +IF(P4="",0,POWER(10,((P4+'ModelParams Lw'!$Q$4)/10))) +IF(Q4="",0,POWER(10,((Q4+'ModelParams Lw'!$R$4)/10))) +IF(R4="",0,POWER(10,((R4+'ModelParams Lw'!$S$4)/10))) +IF(S4="",0,POWER(10,((S4+'ModelParams Lw'!$T$4)/10))) +IF(T4="",0,POWER(10,((T4+'ModelParams Lw'!$U$4)/10)))+IF(U4="",0,POWER(10,((U4+'ModelParams Lw'!$V$4)/10))))),0,10*LOG10(IF(N4="",0,POWER(10,((N4+'ModelParams Lw'!$O$4)/10))) +IF(O4="",0,POWER(10,((O4+'ModelParams Lw'!$P$4)/10))) +IF(P4="",0,POWER(10,((P4+'ModelParams Lw'!$Q$4)/10))) +IF(Q4="",0,POWER(10,((Q4+'ModelParams Lw'!$R$4)/10))) +IF(R4="",0,POWER(10,((R4+'ModelParams Lw'!$S$4)/10))) +IF(S4="",0,POWER(10,((S4+'ModelParams Lw'!$T$4)/10))) +IF(T4="",0,POWER(10,((T4+'ModelParams Lw'!$U$4)/10)))+IF(U4="",0,POWER(10,((U4+'ModelParams Lw'!$V$4)/10)))))</f>
        <v>-11.430950247240999</v>
      </c>
      <c r="W4" s="17">
        <f>MAX(X4:AE4)</f>
        <v>-26.241709173722782</v>
      </c>
      <c r="X4" s="17">
        <f>IF(N4="","",(N4-'ModelParams Lw'!O$10)/'ModelParams Lw'!O$11)</f>
        <v>-26.241709173722782</v>
      </c>
      <c r="Y4" s="17" t="str">
        <f>IF(O4="","",(O4-'ModelParams Lw'!P$10)/'ModelParams Lw'!P$11)</f>
        <v/>
      </c>
      <c r="Z4" s="17" t="str">
        <f>IF(P4="","",(P4-'ModelParams Lw'!Q$10)/'ModelParams Lw'!Q$11)</f>
        <v/>
      </c>
      <c r="AA4" s="17" t="str">
        <f>IF(Q4="","",(Q4-'ModelParams Lw'!R$10)/'ModelParams Lw'!R$11)</f>
        <v/>
      </c>
      <c r="AB4" s="17" t="str">
        <f>IF(R4="","",(R4-'ModelParams Lw'!S$10)/'ModelParams Lw'!S$11)</f>
        <v/>
      </c>
      <c r="AC4" s="17" t="str">
        <f>IF(S4="","",(S4-'ModelParams Lw'!T$10)/'ModelParams Lw'!T$11)</f>
        <v/>
      </c>
      <c r="AD4" s="17" t="str">
        <f>IF(T4="","",(T4-'ModelParams Lw'!U$10)/'ModelParams Lw'!U$11)</f>
        <v/>
      </c>
      <c r="AE4" s="17" t="str">
        <f>IF(U4="","",(U4-'ModelParams Lw'!V$10)/'ModelParams Lw'!V$11)</f>
        <v/>
      </c>
    </row>
    <row r="5" spans="1:31" x14ac:dyDescent="0.2">
      <c r="A5" s="5">
        <f>Calcul!$C$8</f>
        <v>1500</v>
      </c>
      <c r="B5" s="5">
        <f t="shared" ref="B5:B11" si="0">A5*IF($A$3="[L/s]",3.6,IF($A$3="[m³/s]",1/3600,1))</f>
        <v>1500</v>
      </c>
      <c r="C5" s="17">
        <f>'dPs vs Alfa'!C8</f>
        <v>0.11117381930250952</v>
      </c>
      <c r="D5" s="5">
        <f>Calcul!$C$6/1000</f>
        <v>1</v>
      </c>
      <c r="E5" s="5">
        <f>Calcul!$C$7/1000</f>
        <v>0.7</v>
      </c>
      <c r="F5" s="15">
        <f>DEGREES(ACOS(1-(1/'ModelParams Lw'!B$15*SQRT(0.5*1.2/'Sound Power'!$C5)*('Sound Power'!$B5/3600)/('Sound Power'!$D5)/('Sound Power'!$E5))))</f>
        <v>0.2467244432426807</v>
      </c>
      <c r="G5" s="15">
        <f>DEGREES(ACOS(1-(1/'ModelParams Lw'!C$15*SQRT(0.5*1.2/'Sound Power'!$C5)*('Sound Power'!$B5/3600)/('Sound Power'!$D5)/('Sound Power'!$E5))))</f>
        <v>0.47793411693255283</v>
      </c>
      <c r="H5" s="15">
        <f>DEGREES(ACOS(1-(1/'ModelParams Lw'!D$15*SQRT(0.5*1.2/'Sound Power'!$C5)*('Sound Power'!$B5/3600)/('Sound Power'!$D5)/('Sound Power'!$E5))))</f>
        <v>0.5560077164025794</v>
      </c>
      <c r="I5" s="15">
        <f>DEGREES(ACOS(1-(1/'ModelParams Lw'!E$15*SQRT(0.5*1.2/'Sound Power'!$C5)*('Sound Power'!$B5/3600)/('Sound Power'!$D5)/('Sound Power'!$E5))))</f>
        <v>0.44039989986681538</v>
      </c>
      <c r="J5" s="15">
        <f>DEGREES(ACOS(1-(1/'ModelParams Lw'!F$15*SQRT(0.5*1.2/'Sound Power'!$C5)*('Sound Power'!$B5/3600)/('Sound Power'!$D5)/('Sound Power'!$E5))))</f>
        <v>0.2963503414825196</v>
      </c>
      <c r="K5" s="15">
        <f>DEGREES(ACOS(1-(1/'ModelParams Lw'!G$15*SQRT(0.5*1.2/'Sound Power'!$C5)*('Sound Power'!$B5/3600)/('Sound Power'!$D5)/('Sound Power'!$E5))))</f>
        <v>0.24411321470632238</v>
      </c>
      <c r="L5" s="15">
        <f>DEGREES(ACOS(1-(1/'ModelParams Lw'!H$15*SQRT(0.5*1.2/'Sound Power'!$C5)*('Sound Power'!$B5/3600)/('Sound Power'!$D5)/('Sound Power'!$E5))))</f>
        <v>0.22023223628782226</v>
      </c>
      <c r="M5" s="15">
        <f>DEGREES(ACOS(1-(1/'ModelParams Lw'!I$15*SQRT(0.5*1.2/'Sound Power'!$C5)*('Sound Power'!$B5/3600)/('Sound Power'!$D5)/('Sound Power'!$E5))))</f>
        <v>0.32031611262031984</v>
      </c>
      <c r="N5" s="17">
        <f>IF(('ModelParams Lw'!B$4*LN('Sound Power'!F5)/(1+EXP(-('Sound Power'!$D5*1000+'ModelParams Lw'!B$6)/'ModelParams Lw'!B$7))+'ModelParams Lw'!B$5)*LN('Sound Power'!$B5)-('ModelParams Lw'!B$8+'ModelParams Lw'!B$9*$D5+'ModelParams Lw'!B$10*'Sound Power'!$E5^'ModelParams Lw'!B$14+'ModelParams Lw'!B$11*LN('Sound Power'!F5)+'ModelParams Lw'!B$12*'Sound Power'!$D5*'Sound Power'!$E5+'ModelParams Lw'!B$13*'Sound Power'!$D5*LN('Sound Power'!F5))&lt;0,"",('ModelParams Lw'!B$4*LN('Sound Power'!F5)/(1+EXP(-('Sound Power'!$D5*1000+'ModelParams Lw'!B$6)/'ModelParams Lw'!B$7))+'ModelParams Lw'!B$5)*LN('Sound Power'!$B5)-('ModelParams Lw'!B$8+'ModelParams Lw'!B$9*$D5+'ModelParams Lw'!B$10*'Sound Power'!$E5^'ModelParams Lw'!B$14+'ModelParams Lw'!B$11*LN('Sound Power'!F5)+'ModelParams Lw'!B$12*'Sound Power'!$D5*'Sound Power'!$E5+'ModelParams Lw'!B$13*'Sound Power'!$D5*LN('Sound Power'!F5)))</f>
        <v>35.714547278674218</v>
      </c>
      <c r="O5" s="17">
        <f>IF(('ModelParams Lw'!C$4*LN('Sound Power'!G5)/(1+EXP(-('Sound Power'!$D5*1000+'ModelParams Lw'!C$6)/'ModelParams Lw'!C$7))+'ModelParams Lw'!C$5)*LN('Sound Power'!$B5)-('ModelParams Lw'!C$8+'ModelParams Lw'!C$9*$D5+'ModelParams Lw'!C$10*'Sound Power'!$E5^'ModelParams Lw'!C$14+'ModelParams Lw'!C$11*LN('Sound Power'!G5)+'ModelParams Lw'!C$12*'Sound Power'!$D5*'Sound Power'!$E5+'ModelParams Lw'!C$13*'Sound Power'!$D5*LN('Sound Power'!G5))&lt;0,"",('ModelParams Lw'!C$4*LN('Sound Power'!G5)/(1+EXP(-('Sound Power'!$D5*1000+'ModelParams Lw'!C$6)/'ModelParams Lw'!C$7))+'ModelParams Lw'!C$5)*LN('Sound Power'!$B5)-('ModelParams Lw'!C$8+'ModelParams Lw'!C$9*$D5+'ModelParams Lw'!C$10*'Sound Power'!$E5^'ModelParams Lw'!C$14+'ModelParams Lw'!C$11*LN('Sound Power'!G5)+'ModelParams Lw'!C$12*'Sound Power'!$D5*'Sound Power'!$E5+'ModelParams Lw'!C$13*'Sound Power'!$D5*LN('Sound Power'!G5)))</f>
        <v>18.590666623450488</v>
      </c>
      <c r="P5" s="17">
        <f>IF(('ModelParams Lw'!D$4*LN('Sound Power'!H5)/(1+EXP(-('Sound Power'!$D5*1000+'ModelParams Lw'!D$6)/'ModelParams Lw'!D$7))+'ModelParams Lw'!D$5)*LN('Sound Power'!$B5)-('ModelParams Lw'!D$8+'ModelParams Lw'!D$9*$D5+'ModelParams Lw'!D$10*'Sound Power'!$E5^'ModelParams Lw'!D$14+'ModelParams Lw'!D$11*LN('Sound Power'!H5)+'ModelParams Lw'!D$12*'Sound Power'!$D5*'Sound Power'!$E5+'ModelParams Lw'!D$13*'Sound Power'!$D5*LN('Sound Power'!H5))&lt;0,"",('ModelParams Lw'!D$4*LN('Sound Power'!H5)/(1+EXP(-('Sound Power'!$D5*1000+'ModelParams Lw'!D$6)/'ModelParams Lw'!D$7))+'ModelParams Lw'!D$5)*LN('Sound Power'!$B5)-('ModelParams Lw'!D$8+'ModelParams Lw'!D$9*$D5+'ModelParams Lw'!D$10*'Sound Power'!$E5^'ModelParams Lw'!D$14+'ModelParams Lw'!D$11*LN('Sound Power'!H5)+'ModelParams Lw'!D$12*'Sound Power'!$D5*'Sound Power'!$E5+'ModelParams Lw'!D$13*'Sound Power'!$D5*LN('Sound Power'!H5)))</f>
        <v>1.7314456310915034</v>
      </c>
      <c r="Q5" s="17" t="str">
        <f>IF(('ModelParams Lw'!E$4*LN('Sound Power'!I5)/(1+EXP(-('Sound Power'!$D5*1000+'ModelParams Lw'!E$6)/'ModelParams Lw'!E$7))+'ModelParams Lw'!E$5)*LN('Sound Power'!$B5)-('ModelParams Lw'!E$8+'ModelParams Lw'!E$9*$D5+'ModelParams Lw'!E$10*'Sound Power'!$E5^'ModelParams Lw'!E$14+'ModelParams Lw'!E$11*LN('Sound Power'!I5)+'ModelParams Lw'!E$12*'Sound Power'!$D5*'Sound Power'!$E5+'ModelParams Lw'!E$13*'Sound Power'!$D5*LN('Sound Power'!I5))&lt;0,"",('ModelParams Lw'!E$4*LN('Sound Power'!I5)/(1+EXP(-('Sound Power'!$D5*1000+'ModelParams Lw'!E$6)/'ModelParams Lw'!E$7))+'ModelParams Lw'!E$5)*LN('Sound Power'!$B5)-('ModelParams Lw'!E$8+'ModelParams Lw'!E$9*$D5+'ModelParams Lw'!E$10*'Sound Power'!$E5^'ModelParams Lw'!E$14+'ModelParams Lw'!E$11*LN('Sound Power'!I5)+'ModelParams Lw'!E$12*'Sound Power'!$D5*'Sound Power'!$E5+'ModelParams Lw'!E$13*'Sound Power'!$D5*LN('Sound Power'!I5)))</f>
        <v/>
      </c>
      <c r="R5" s="17" t="str">
        <f>IF(('ModelParams Lw'!F$4*LN('Sound Power'!J5)/(1+EXP(-('Sound Power'!$D5*1000+'ModelParams Lw'!F$6)/'ModelParams Lw'!F$7))+'ModelParams Lw'!F$5)*LN('Sound Power'!$B5)-('ModelParams Lw'!F$8+'ModelParams Lw'!F$9*$D5+'ModelParams Lw'!F$10*'Sound Power'!$E5^'ModelParams Lw'!F$14+'ModelParams Lw'!F$11*LN('Sound Power'!J5)+'ModelParams Lw'!F$12*'Sound Power'!$D5*'Sound Power'!$E5+'ModelParams Lw'!F$13*'Sound Power'!$D5*LN('Sound Power'!J5))&lt;0,"",('ModelParams Lw'!F$4*LN('Sound Power'!J5)/(1+EXP(-('Sound Power'!$D5*1000+'ModelParams Lw'!F$6)/'ModelParams Lw'!F$7))+'ModelParams Lw'!F$5)*LN('Sound Power'!$B5)-('ModelParams Lw'!F$8+'ModelParams Lw'!F$9*$D5+'ModelParams Lw'!F$10*'Sound Power'!$E5^'ModelParams Lw'!F$14+'ModelParams Lw'!F$11*LN('Sound Power'!J5)+'ModelParams Lw'!F$12*'Sound Power'!$D5*'Sound Power'!$E5+'ModelParams Lw'!F$13*'Sound Power'!$D5*LN('Sound Power'!J5)))</f>
        <v/>
      </c>
      <c r="S5" s="17" t="str">
        <f>IF(('ModelParams Lw'!G$4*LN('Sound Power'!K5)/(1+EXP(-('Sound Power'!$D5*1000+'ModelParams Lw'!G$6)/'ModelParams Lw'!G$7))+'ModelParams Lw'!G$5)*LN('Sound Power'!$B5)-('ModelParams Lw'!G$8+'ModelParams Lw'!G$9*$D5+'ModelParams Lw'!G$10*'Sound Power'!$E5^'ModelParams Lw'!G$14+'ModelParams Lw'!G$11*LN('Sound Power'!K5)+'ModelParams Lw'!G$12*'Sound Power'!$D5*'Sound Power'!$E5+'ModelParams Lw'!G$13*'Sound Power'!$D5*LN('Sound Power'!K5))&lt;0,"",('ModelParams Lw'!G$4*LN('Sound Power'!K5)/(1+EXP(-('Sound Power'!$D5*1000+'ModelParams Lw'!G$6)/'ModelParams Lw'!G$7))+'ModelParams Lw'!G$5)*LN('Sound Power'!$B5)-('ModelParams Lw'!G$8+'ModelParams Lw'!G$9*$D5+'ModelParams Lw'!G$10*'Sound Power'!$E5^'ModelParams Lw'!G$14+'ModelParams Lw'!G$11*LN('Sound Power'!K5)+'ModelParams Lw'!G$12*'Sound Power'!$D5*'Sound Power'!$E5+'ModelParams Lw'!G$13*'Sound Power'!$D5*LN('Sound Power'!K5)))</f>
        <v/>
      </c>
      <c r="T5" s="17" t="str">
        <f>IF(('ModelParams Lw'!H$4*LN('Sound Power'!L5)/(1+EXP(-('Sound Power'!$D5*1000+'ModelParams Lw'!H$6)/'ModelParams Lw'!H$7))+'ModelParams Lw'!H$5)*LN('Sound Power'!$B5)-('ModelParams Lw'!H$8+'ModelParams Lw'!H$9*$D5+'ModelParams Lw'!H$10*'Sound Power'!$E5^'ModelParams Lw'!H$14+'ModelParams Lw'!H$11*LN('Sound Power'!L5)+'ModelParams Lw'!H$12*'Sound Power'!$D5*'Sound Power'!$E5+'ModelParams Lw'!H$13*'Sound Power'!$D5*LN('Sound Power'!L5))&lt;0,"",('ModelParams Lw'!H$4*LN('Sound Power'!L5)/(1+EXP(-('Sound Power'!$D5*1000+'ModelParams Lw'!H$6)/'ModelParams Lw'!H$7))+'ModelParams Lw'!H$5)*LN('Sound Power'!$B5)-('ModelParams Lw'!H$8+'ModelParams Lw'!H$9*$D5+'ModelParams Lw'!H$10*'Sound Power'!$E5^'ModelParams Lw'!H$14+'ModelParams Lw'!H$11*LN('Sound Power'!L5)+'ModelParams Lw'!H$12*'Sound Power'!$D5*'Sound Power'!$E5+'ModelParams Lw'!H$13*'Sound Power'!$D5*LN('Sound Power'!L5)))</f>
        <v/>
      </c>
      <c r="U5" s="17" t="str">
        <f>IF(('ModelParams Lw'!I$4*LN('Sound Power'!M5)/(1+EXP(-('Sound Power'!$D5*1000+'ModelParams Lw'!I$6)/'ModelParams Lw'!I$7))+'ModelParams Lw'!I$5)*LN('Sound Power'!$B5)-('ModelParams Lw'!I$8+'ModelParams Lw'!I$9*$D5+'ModelParams Lw'!I$10*'Sound Power'!$E5^'ModelParams Lw'!I$14+'ModelParams Lw'!I$11*LN('Sound Power'!M5)+'ModelParams Lw'!I$12*'Sound Power'!$D5*'Sound Power'!$E5+'ModelParams Lw'!I$13*'Sound Power'!$D5*LN('Sound Power'!M5))&lt;0,"",('ModelParams Lw'!I$4*LN('Sound Power'!M5)/(1+EXP(-('Sound Power'!$D5*1000+'ModelParams Lw'!I$6)/'ModelParams Lw'!I$7))+'ModelParams Lw'!I$5)*LN('Sound Power'!$B5)-('ModelParams Lw'!I$8+'ModelParams Lw'!I$9*$D5+'ModelParams Lw'!I$10*'Sound Power'!$E5^'ModelParams Lw'!I$14+'ModelParams Lw'!I$11*LN('Sound Power'!M5)+'ModelParams Lw'!I$12*'Sound Power'!$D5*'Sound Power'!$E5+'ModelParams Lw'!I$13*'Sound Power'!$D5*LN('Sound Power'!M5)))</f>
        <v/>
      </c>
      <c r="V5" s="17">
        <f>IF(ISERR(10*LOG10(IF(N5="",0,POWER(10,((N5+'ModelParams Lw'!$O$4)/10))) +IF(O5="",0,POWER(10,((O5+'ModelParams Lw'!$P$4)/10))) +IF(P5="",0,POWER(10,((P5+'ModelParams Lw'!$Q$4)/10))) +IF(Q5="",0,POWER(10,((Q5+'ModelParams Lw'!$R$4)/10))) +IF(R5="",0,POWER(10,((R5+'ModelParams Lw'!$S$4)/10))) +IF(S5="",0,POWER(10,((S5+'ModelParams Lw'!$T$4)/10))) +IF(T5="",0,POWER(10,((T5+'ModelParams Lw'!$U$4)/10)))+IF(U5="",0,POWER(10,((U5+'ModelParams Lw'!$V$4)/10))))),0,10*LOG10(IF(N5="",0,POWER(10,((N5+'ModelParams Lw'!$O$4)/10))) +IF(O5="",0,POWER(10,((O5+'ModelParams Lw'!$P$4)/10))) +IF(P5="",0,POWER(10,((P5+'ModelParams Lw'!$Q$4)/10))) +IF(Q5="",0,POWER(10,((Q5+'ModelParams Lw'!$R$4)/10))) +IF(R5="",0,POWER(10,((R5+'ModelParams Lw'!$S$4)/10))) +IF(S5="",0,POWER(10,((S5+'ModelParams Lw'!$T$4)/10))) +IF(T5="",0,POWER(10,((T5+'ModelParams Lw'!$U$4)/10)))+IF(U5="",0,POWER(10,((U5+'ModelParams Lw'!$V$4)/10)))))</f>
        <v>10.383233426369022</v>
      </c>
      <c r="W5" s="17">
        <f t="shared" ref="W5:W13" si="1">MAX(X5:AE5)</f>
        <v>0.27157883376483227</v>
      </c>
      <c r="X5" s="17">
        <f>IF(N5="","",(N5-'ModelParams Lw'!O$10)/'ModelParams Lw'!O$11)</f>
        <v>0.27157883376483227</v>
      </c>
      <c r="Y5" s="17">
        <f>IF(O5="","",(O5-'ModelParams Lw'!P$10)/'ModelParams Lw'!P$11)</f>
        <v>-3.9187739960339214</v>
      </c>
      <c r="Z5" s="17">
        <f>IF(P5="","",(P5-'ModelParams Lw'!Q$10)/'ModelParams Lw'!Q$11)</f>
        <v>-11.041456310654297</v>
      </c>
      <c r="AA5" s="17" t="str">
        <f>IF(Q5="","",(Q5-'ModelParams Lw'!R$10)/'ModelParams Lw'!R$11)</f>
        <v/>
      </c>
      <c r="AB5" s="17" t="str">
        <f>IF(R5="","",(R5-'ModelParams Lw'!S$10)/'ModelParams Lw'!S$11)</f>
        <v/>
      </c>
      <c r="AC5" s="17" t="str">
        <f>IF(S5="","",(S5-'ModelParams Lw'!T$10)/'ModelParams Lw'!T$11)</f>
        <v/>
      </c>
      <c r="AD5" s="17" t="str">
        <f>IF(T5="","",(T5-'ModelParams Lw'!U$10)/'ModelParams Lw'!U$11)</f>
        <v/>
      </c>
      <c r="AE5" s="17" t="str">
        <f>IF(U5="","",(U5-'ModelParams Lw'!V$10)/'ModelParams Lw'!V$11)</f>
        <v/>
      </c>
    </row>
    <row r="6" spans="1:31" x14ac:dyDescent="0.2">
      <c r="A6" s="5">
        <f>Calcul!$C$8</f>
        <v>1500</v>
      </c>
      <c r="B6" s="5">
        <f t="shared" si="0"/>
        <v>1500</v>
      </c>
      <c r="C6" s="17">
        <f>'dPs vs Alfa'!D8</f>
        <v>0.40933782189619716</v>
      </c>
      <c r="D6" s="5">
        <f>Calcul!$C$6/1000</f>
        <v>1</v>
      </c>
      <c r="E6" s="5">
        <f>Calcul!$C$7/1000</f>
        <v>0.7</v>
      </c>
      <c r="F6" s="15">
        <f>DEGREES(ACOS(1-(1/'ModelParams Lw'!B$15*SQRT(0.5*1.2/'Sound Power'!$C6)*('Sound Power'!$B6/3600)/('Sound Power'!$D6)/('Sound Power'!$E6))))</f>
        <v>0.17811158967555074</v>
      </c>
      <c r="G6" s="15">
        <f>DEGREES(ACOS(1-(1/'ModelParams Lw'!C$15*SQRT(0.5*1.2/'Sound Power'!$C6)*('Sound Power'!$B6/3600)/('Sound Power'!$D6)/('Sound Power'!$E6))))</f>
        <v>0.34502263951732498</v>
      </c>
      <c r="H6" s="15">
        <f>DEGREES(ACOS(1-(1/'ModelParams Lw'!D$15*SQRT(0.5*1.2/'Sound Power'!$C6)*('Sound Power'!$B6/3600)/('Sound Power'!$D6)/('Sound Power'!$E6))))</f>
        <v>0.40138410084077347</v>
      </c>
      <c r="I6" s="15">
        <f>DEGREES(ACOS(1-(1/'ModelParams Lw'!E$15*SQRT(0.5*1.2/'Sound Power'!$C6)*('Sound Power'!$B6/3600)/('Sound Power'!$D6)/('Sound Power'!$E6))))</f>
        <v>0.317926597714006</v>
      </c>
      <c r="J6" s="15">
        <f>DEGREES(ACOS(1-(1/'ModelParams Lw'!F$15*SQRT(0.5*1.2/'Sound Power'!$C6)*('Sound Power'!$B6/3600)/('Sound Power'!$D6)/('Sound Power'!$E6))))</f>
        <v>0.2139367347729163</v>
      </c>
      <c r="K6" s="15">
        <f>DEGREES(ACOS(1-(1/'ModelParams Lw'!G$15*SQRT(0.5*1.2/'Sound Power'!$C6)*('Sound Power'!$B6/3600)/('Sound Power'!$D6)/('Sound Power'!$E6))))</f>
        <v>0.17622653231716237</v>
      </c>
      <c r="L6" s="15">
        <f>DEGREES(ACOS(1-(1/'ModelParams Lw'!H$15*SQRT(0.5*1.2/'Sound Power'!$C6)*('Sound Power'!$B6/3600)/('Sound Power'!$D6)/('Sound Power'!$E6))))</f>
        <v>0.15898674706261531</v>
      </c>
      <c r="M6" s="15">
        <f>DEGREES(ACOS(1-(1/'ModelParams Lw'!I$15*SQRT(0.5*1.2/'Sound Power'!$C6)*('Sound Power'!$B6/3600)/('Sound Power'!$D6)/('Sound Power'!$E6))))</f>
        <v>0.23123771928632567</v>
      </c>
      <c r="N6" s="17">
        <f>IF(('ModelParams Lw'!B$4*LN('Sound Power'!F6)/(1+EXP(-('Sound Power'!$D6*1000+'ModelParams Lw'!B$6)/'ModelParams Lw'!B$7))+'ModelParams Lw'!B$5)*LN('Sound Power'!$B6)-('ModelParams Lw'!B$8+'ModelParams Lw'!B$9*$D6+'ModelParams Lw'!B$10*'Sound Power'!$E6^'ModelParams Lw'!B$14+'ModelParams Lw'!B$11*LN('Sound Power'!F6)+'ModelParams Lw'!B$12*'Sound Power'!$D6*'Sound Power'!$E6+'ModelParams Lw'!B$13*'Sound Power'!$D6*LN('Sound Power'!F6))&lt;0,"",('ModelParams Lw'!B$4*LN('Sound Power'!F6)/(1+EXP(-('Sound Power'!$D6*1000+'ModelParams Lw'!B$6)/'ModelParams Lw'!B$7))+'ModelParams Lw'!B$5)*LN('Sound Power'!$B6)-('ModelParams Lw'!B$8+'ModelParams Lw'!B$9*$D6+'ModelParams Lw'!B$10*'Sound Power'!$E6^'ModelParams Lw'!B$14+'ModelParams Lw'!B$11*LN('Sound Power'!F6)+'ModelParams Lw'!B$12*'Sound Power'!$D6*'Sound Power'!$E6+'ModelParams Lw'!B$13*'Sound Power'!$D6*LN('Sound Power'!F6)))</f>
        <v>42.174403655772053</v>
      </c>
      <c r="O6" s="17">
        <f>IF(('ModelParams Lw'!C$4*LN('Sound Power'!G6)/(1+EXP(-('Sound Power'!$D6*1000+'ModelParams Lw'!C$6)/'ModelParams Lw'!C$7))+'ModelParams Lw'!C$5)*LN('Sound Power'!$B6)-('ModelParams Lw'!C$8+'ModelParams Lw'!C$9*$D6+'ModelParams Lw'!C$10*'Sound Power'!$E6^'ModelParams Lw'!C$14+'ModelParams Lw'!C$11*LN('Sound Power'!G6)+'ModelParams Lw'!C$12*'Sound Power'!$D6*'Sound Power'!$E6+'ModelParams Lw'!C$13*'Sound Power'!$D6*LN('Sound Power'!G6))&lt;0,"",('ModelParams Lw'!C$4*LN('Sound Power'!G6)/(1+EXP(-('Sound Power'!$D6*1000+'ModelParams Lw'!C$6)/'ModelParams Lw'!C$7))+'ModelParams Lw'!C$5)*LN('Sound Power'!$B6)-('ModelParams Lw'!C$8+'ModelParams Lw'!C$9*$D6+'ModelParams Lw'!C$10*'Sound Power'!$E6^'ModelParams Lw'!C$14+'ModelParams Lw'!C$11*LN('Sound Power'!G6)+'ModelParams Lw'!C$12*'Sound Power'!$D6*'Sound Power'!$E6+'ModelParams Lw'!C$13*'Sound Power'!$D6*LN('Sound Power'!G6)))</f>
        <v>26.239494957587681</v>
      </c>
      <c r="P6" s="17">
        <f>IF(('ModelParams Lw'!D$4*LN('Sound Power'!H6)/(1+EXP(-('Sound Power'!$D6*1000+'ModelParams Lw'!D$6)/'ModelParams Lw'!D$7))+'ModelParams Lw'!D$5)*LN('Sound Power'!$B6)-('ModelParams Lw'!D$8+'ModelParams Lw'!D$9*$D6+'ModelParams Lw'!D$10*'Sound Power'!$E6^'ModelParams Lw'!D$14+'ModelParams Lw'!D$11*LN('Sound Power'!H6)+'ModelParams Lw'!D$12*'Sound Power'!$D6*'Sound Power'!$E6+'ModelParams Lw'!D$13*'Sound Power'!$D6*LN('Sound Power'!H6))&lt;0,"",('ModelParams Lw'!D$4*LN('Sound Power'!H6)/(1+EXP(-('Sound Power'!$D6*1000+'ModelParams Lw'!D$6)/'ModelParams Lw'!D$7))+'ModelParams Lw'!D$5)*LN('Sound Power'!$B6)-('ModelParams Lw'!D$8+'ModelParams Lw'!D$9*$D6+'ModelParams Lw'!D$10*'Sound Power'!$E6^'ModelParams Lw'!D$14+'ModelParams Lw'!D$11*LN('Sound Power'!H6)+'ModelParams Lw'!D$12*'Sound Power'!$D6*'Sound Power'!$E6+'ModelParams Lw'!D$13*'Sound Power'!$D6*LN('Sound Power'!H6)))</f>
        <v>11.817305334824312</v>
      </c>
      <c r="Q6" s="17">
        <f>IF(('ModelParams Lw'!E$4*LN('Sound Power'!I6)/(1+EXP(-('Sound Power'!$D6*1000+'ModelParams Lw'!E$6)/'ModelParams Lw'!E$7))+'ModelParams Lw'!E$5)*LN('Sound Power'!$B6)-('ModelParams Lw'!E$8+'ModelParams Lw'!E$9*$D6+'ModelParams Lw'!E$10*'Sound Power'!$E6^'ModelParams Lw'!E$14+'ModelParams Lw'!E$11*LN('Sound Power'!I6)+'ModelParams Lw'!E$12*'Sound Power'!$D6*'Sound Power'!$E6+'ModelParams Lw'!E$13*'Sound Power'!$D6*LN('Sound Power'!I6))&lt;0,"",('ModelParams Lw'!E$4*LN('Sound Power'!I6)/(1+EXP(-('Sound Power'!$D6*1000+'ModelParams Lw'!E$6)/'ModelParams Lw'!E$7))+'ModelParams Lw'!E$5)*LN('Sound Power'!$B6)-('ModelParams Lw'!E$8+'ModelParams Lw'!E$9*$D6+'ModelParams Lw'!E$10*'Sound Power'!$E6^'ModelParams Lw'!E$14+'ModelParams Lw'!E$11*LN('Sound Power'!I6)+'ModelParams Lw'!E$12*'Sound Power'!$D6*'Sound Power'!$E6+'ModelParams Lw'!E$13*'Sound Power'!$D6*LN('Sound Power'!I6)))</f>
        <v>4.2630290036382235</v>
      </c>
      <c r="R6" s="17" t="str">
        <f>IF(('ModelParams Lw'!F$4*LN('Sound Power'!J6)/(1+EXP(-('Sound Power'!$D6*1000+'ModelParams Lw'!F$6)/'ModelParams Lw'!F$7))+'ModelParams Lw'!F$5)*LN('Sound Power'!$B6)-('ModelParams Lw'!F$8+'ModelParams Lw'!F$9*$D6+'ModelParams Lw'!F$10*'Sound Power'!$E6^'ModelParams Lw'!F$14+'ModelParams Lw'!F$11*LN('Sound Power'!J6)+'ModelParams Lw'!F$12*'Sound Power'!$D6*'Sound Power'!$E6+'ModelParams Lw'!F$13*'Sound Power'!$D6*LN('Sound Power'!J6))&lt;0,"",('ModelParams Lw'!F$4*LN('Sound Power'!J6)/(1+EXP(-('Sound Power'!$D6*1000+'ModelParams Lw'!F$6)/'ModelParams Lw'!F$7))+'ModelParams Lw'!F$5)*LN('Sound Power'!$B6)-('ModelParams Lw'!F$8+'ModelParams Lw'!F$9*$D6+'ModelParams Lw'!F$10*'Sound Power'!$E6^'ModelParams Lw'!F$14+'ModelParams Lw'!F$11*LN('Sound Power'!J6)+'ModelParams Lw'!F$12*'Sound Power'!$D6*'Sound Power'!$E6+'ModelParams Lw'!F$13*'Sound Power'!$D6*LN('Sound Power'!J6)))</f>
        <v/>
      </c>
      <c r="S6" s="17" t="str">
        <f>IF(('ModelParams Lw'!G$4*LN('Sound Power'!K6)/(1+EXP(-('Sound Power'!$D6*1000+'ModelParams Lw'!G$6)/'ModelParams Lw'!G$7))+'ModelParams Lw'!G$5)*LN('Sound Power'!$B6)-('ModelParams Lw'!G$8+'ModelParams Lw'!G$9*$D6+'ModelParams Lw'!G$10*'Sound Power'!$E6^'ModelParams Lw'!G$14+'ModelParams Lw'!G$11*LN('Sound Power'!K6)+'ModelParams Lw'!G$12*'Sound Power'!$D6*'Sound Power'!$E6+'ModelParams Lw'!G$13*'Sound Power'!$D6*LN('Sound Power'!K6))&lt;0,"",('ModelParams Lw'!G$4*LN('Sound Power'!K6)/(1+EXP(-('Sound Power'!$D6*1000+'ModelParams Lw'!G$6)/'ModelParams Lw'!G$7))+'ModelParams Lw'!G$5)*LN('Sound Power'!$B6)-('ModelParams Lw'!G$8+'ModelParams Lw'!G$9*$D6+'ModelParams Lw'!G$10*'Sound Power'!$E6^'ModelParams Lw'!G$14+'ModelParams Lw'!G$11*LN('Sound Power'!K6)+'ModelParams Lw'!G$12*'Sound Power'!$D6*'Sound Power'!$E6+'ModelParams Lw'!G$13*'Sound Power'!$D6*LN('Sound Power'!K6)))</f>
        <v/>
      </c>
      <c r="T6" s="17" t="str">
        <f>IF(('ModelParams Lw'!H$4*LN('Sound Power'!L6)/(1+EXP(-('Sound Power'!$D6*1000+'ModelParams Lw'!H$6)/'ModelParams Lw'!H$7))+'ModelParams Lw'!H$5)*LN('Sound Power'!$B6)-('ModelParams Lw'!H$8+'ModelParams Lw'!H$9*$D6+'ModelParams Lw'!H$10*'Sound Power'!$E6^'ModelParams Lw'!H$14+'ModelParams Lw'!H$11*LN('Sound Power'!L6)+'ModelParams Lw'!H$12*'Sound Power'!$D6*'Sound Power'!$E6+'ModelParams Lw'!H$13*'Sound Power'!$D6*LN('Sound Power'!L6))&lt;0,"",('ModelParams Lw'!H$4*LN('Sound Power'!L6)/(1+EXP(-('Sound Power'!$D6*1000+'ModelParams Lw'!H$6)/'ModelParams Lw'!H$7))+'ModelParams Lw'!H$5)*LN('Sound Power'!$B6)-('ModelParams Lw'!H$8+'ModelParams Lw'!H$9*$D6+'ModelParams Lw'!H$10*'Sound Power'!$E6^'ModelParams Lw'!H$14+'ModelParams Lw'!H$11*LN('Sound Power'!L6)+'ModelParams Lw'!H$12*'Sound Power'!$D6*'Sound Power'!$E6+'ModelParams Lw'!H$13*'Sound Power'!$D6*LN('Sound Power'!L6)))</f>
        <v/>
      </c>
      <c r="U6" s="17" t="str">
        <f>IF(('ModelParams Lw'!I$4*LN('Sound Power'!M6)/(1+EXP(-('Sound Power'!$D6*1000+'ModelParams Lw'!I$6)/'ModelParams Lw'!I$7))+'ModelParams Lw'!I$5)*LN('Sound Power'!$B6)-('ModelParams Lw'!I$8+'ModelParams Lw'!I$9*$D6+'ModelParams Lw'!I$10*'Sound Power'!$E6^'ModelParams Lw'!I$14+'ModelParams Lw'!I$11*LN('Sound Power'!M6)+'ModelParams Lw'!I$12*'Sound Power'!$D6*'Sound Power'!$E6+'ModelParams Lw'!I$13*'Sound Power'!$D6*LN('Sound Power'!M6))&lt;0,"",('ModelParams Lw'!I$4*LN('Sound Power'!M6)/(1+EXP(-('Sound Power'!$D6*1000+'ModelParams Lw'!I$6)/'ModelParams Lw'!I$7))+'ModelParams Lw'!I$5)*LN('Sound Power'!$B6)-('ModelParams Lw'!I$8+'ModelParams Lw'!I$9*$D6+'ModelParams Lw'!I$10*'Sound Power'!$E6^'ModelParams Lw'!I$14+'ModelParams Lw'!I$11*LN('Sound Power'!M6)+'ModelParams Lw'!I$12*'Sound Power'!$D6*'Sound Power'!$E6+'ModelParams Lw'!I$13*'Sound Power'!$D6*LN('Sound Power'!M6)))</f>
        <v/>
      </c>
      <c r="V6" s="17">
        <f>IF(ISERR(10*LOG10(IF(N6="",0,POWER(10,((N6+'ModelParams Lw'!$O$4)/10))) +IF(O6="",0,POWER(10,((O6+'ModelParams Lw'!$P$4)/10))) +IF(P6="",0,POWER(10,((P6+'ModelParams Lw'!$Q$4)/10))) +IF(Q6="",0,POWER(10,((Q6+'ModelParams Lw'!$R$4)/10))) +IF(R6="",0,POWER(10,((R6+'ModelParams Lw'!$S$4)/10))) +IF(S6="",0,POWER(10,((S6+'ModelParams Lw'!$T$4)/10))) +IF(T6="",0,POWER(10,((T6+'ModelParams Lw'!$U$4)/10)))+IF(U6="",0,POWER(10,((U6+'ModelParams Lw'!$V$4)/10))))),0,10*LOG10(IF(N6="",0,POWER(10,((N6+'ModelParams Lw'!$O$4)/10))) +IF(O6="",0,POWER(10,((O6+'ModelParams Lw'!$P$4)/10))) +IF(P6="",0,POWER(10,((P6+'ModelParams Lw'!$Q$4)/10))) +IF(Q6="",0,POWER(10,((Q6+'ModelParams Lw'!$R$4)/10))) +IF(R6="",0,POWER(10,((R6+'ModelParams Lw'!$S$4)/10))) +IF(S6="",0,POWER(10,((S6+'ModelParams Lw'!$T$4)/10))) +IF(T6="",0,POWER(10,((T6+'ModelParams Lw'!$U$4)/10)))+IF(U6="",0,POWER(10,((U6+'ModelParams Lw'!$V$4)/10)))))</f>
        <v>17.265491537868279</v>
      </c>
      <c r="W6" s="17">
        <f t="shared" si="1"/>
        <v>8.4486122224962692</v>
      </c>
      <c r="X6" s="17">
        <f>IF(N6="","",(N6-'ModelParams Lw'!O$10)/'ModelParams Lw'!O$11)</f>
        <v>8.4486122224962692</v>
      </c>
      <c r="Y6" s="17">
        <f>IF(O6="","",(O6-'ModelParams Lw'!P$10)/'ModelParams Lw'!P$11)</f>
        <v>4.8729827098708975</v>
      </c>
      <c r="Z6" s="17">
        <f>IF(P6="","",(P6-'ModelParams Lw'!Q$10)/'ModelParams Lw'!Q$11)</f>
        <v>-0.1964458765329983</v>
      </c>
      <c r="AA6" s="17">
        <f>IF(Q6="","",(Q6-'ModelParams Lw'!R$10)/'ModelParams Lw'!R$11)</f>
        <v>-0.55130492439607426</v>
      </c>
      <c r="AB6" s="17" t="str">
        <f>IF(R6="","",(R6-'ModelParams Lw'!S$10)/'ModelParams Lw'!S$11)</f>
        <v/>
      </c>
      <c r="AC6" s="17" t="str">
        <f>IF(S6="","",(S6-'ModelParams Lw'!T$10)/'ModelParams Lw'!T$11)</f>
        <v/>
      </c>
      <c r="AD6" s="17" t="str">
        <f>IF(T6="","",(T6-'ModelParams Lw'!U$10)/'ModelParams Lw'!U$11)</f>
        <v/>
      </c>
      <c r="AE6" s="17" t="str">
        <f>IF(U6="","",(U6-'ModelParams Lw'!V$10)/'ModelParams Lw'!V$11)</f>
        <v/>
      </c>
    </row>
    <row r="7" spans="1:31" x14ac:dyDescent="0.2">
      <c r="A7" s="5">
        <f>Calcul!$C$8</f>
        <v>1500</v>
      </c>
      <c r="B7" s="5">
        <f t="shared" si="0"/>
        <v>1500</v>
      </c>
      <c r="C7" s="17">
        <f>'dPs vs Alfa'!E8</f>
        <v>1.5071664667631011</v>
      </c>
      <c r="D7" s="5">
        <f>Calcul!$C$6/1000</f>
        <v>1</v>
      </c>
      <c r="E7" s="5">
        <f>Calcul!$C$7/1000</f>
        <v>0.7</v>
      </c>
      <c r="F7" s="15">
        <f>DEGREES(ACOS(1-(1/'ModelParams Lw'!B$15*SQRT(0.5*1.2/'Sound Power'!$C7)*('Sound Power'!$B7/3600)/('Sound Power'!$D7)/('Sound Power'!$E7))))</f>
        <v>0.1285796558280691</v>
      </c>
      <c r="G7" s="15">
        <f>DEGREES(ACOS(1-(1/'ModelParams Lw'!C$15*SQRT(0.5*1.2/'Sound Power'!$C7)*('Sound Power'!$B7/3600)/('Sound Power'!$D7)/('Sound Power'!$E7))))</f>
        <v>0.24907345322266408</v>
      </c>
      <c r="H7" s="15">
        <f>DEGREES(ACOS(1-(1/'ModelParams Lw'!D$15*SQRT(0.5*1.2/'Sound Power'!$C7)*('Sound Power'!$B7/3600)/('Sound Power'!$D7)/('Sound Power'!$E7))))</f>
        <v>0.28976098102713005</v>
      </c>
      <c r="I7" s="15">
        <f>DEGREES(ACOS(1-(1/'ModelParams Lw'!E$15*SQRT(0.5*1.2/'Sound Power'!$C7)*('Sound Power'!$B7/3600)/('Sound Power'!$D7)/('Sound Power'!$E7))))</f>
        <v>0.22951271928123523</v>
      </c>
      <c r="J7" s="15">
        <f>DEGREES(ACOS(1-(1/'ModelParams Lw'!F$15*SQRT(0.5*1.2/'Sound Power'!$C7)*('Sound Power'!$B7/3600)/('Sound Power'!$D7)/('Sound Power'!$E7))))</f>
        <v>0.15444199576435125</v>
      </c>
      <c r="K7" s="15">
        <f>DEGREES(ACOS(1-(1/'ModelParams Lw'!G$15*SQRT(0.5*1.2/'Sound Power'!$C7)*('Sound Power'!$B7/3600)/('Sound Power'!$D7)/('Sound Power'!$E7))))</f>
        <v>0.12721882392193623</v>
      </c>
      <c r="L7" s="15">
        <f>DEGREES(ACOS(1-(1/'ModelParams Lw'!H$15*SQRT(0.5*1.2/'Sound Power'!$C7)*('Sound Power'!$B7/3600)/('Sound Power'!$D7)/('Sound Power'!$E7))))</f>
        <v>0.11477333988829527</v>
      </c>
      <c r="M7" s="15">
        <f>DEGREES(ACOS(1-(1/'ModelParams Lw'!I$15*SQRT(0.5*1.2/'Sound Power'!$C7)*('Sound Power'!$B7/3600)/('Sound Power'!$D7)/('Sound Power'!$E7))))</f>
        <v>0.16693165495179593</v>
      </c>
      <c r="N7" s="17">
        <f>IF(('ModelParams Lw'!B$4*LN('Sound Power'!F7)/(1+EXP(-('Sound Power'!$D7*1000+'ModelParams Lw'!B$6)/'ModelParams Lw'!B$7))+'ModelParams Lw'!B$5)*LN('Sound Power'!$B7)-('ModelParams Lw'!B$8+'ModelParams Lw'!B$9*$D7+'ModelParams Lw'!B$10*'Sound Power'!$E7^'ModelParams Lw'!B$14+'ModelParams Lw'!B$11*LN('Sound Power'!F7)+'ModelParams Lw'!B$12*'Sound Power'!$D7*'Sound Power'!$E7+'ModelParams Lw'!B$13*'Sound Power'!$D7*LN('Sound Power'!F7))&lt;0,"",('ModelParams Lw'!B$4*LN('Sound Power'!F7)/(1+EXP(-('Sound Power'!$D7*1000+'ModelParams Lw'!B$6)/'ModelParams Lw'!B$7))+'ModelParams Lw'!B$5)*LN('Sound Power'!$B7)-('ModelParams Lw'!B$8+'ModelParams Lw'!B$9*$D7+'ModelParams Lw'!B$10*'Sound Power'!$E7^'ModelParams Lw'!B$14+'ModelParams Lw'!B$11*LN('Sound Power'!F7)+'ModelParams Lw'!B$12*'Sound Power'!$D7*'Sound Power'!$E7+'ModelParams Lw'!B$13*'Sound Power'!$D7*LN('Sound Power'!F7)))</f>
        <v>48.634256521124314</v>
      </c>
      <c r="O7" s="17">
        <f>IF(('ModelParams Lw'!C$4*LN('Sound Power'!G7)/(1+EXP(-('Sound Power'!$D7*1000+'ModelParams Lw'!C$6)/'ModelParams Lw'!C$7))+'ModelParams Lw'!C$5)*LN('Sound Power'!$B7)-('ModelParams Lw'!C$8+'ModelParams Lw'!C$9*$D7+'ModelParams Lw'!C$10*'Sound Power'!$E7^'ModelParams Lw'!C$14+'ModelParams Lw'!C$11*LN('Sound Power'!G7)+'ModelParams Lw'!C$12*'Sound Power'!$D7*'Sound Power'!$E7+'ModelParams Lw'!C$13*'Sound Power'!$D7*LN('Sound Power'!G7))&lt;0,"",('ModelParams Lw'!C$4*LN('Sound Power'!G7)/(1+EXP(-('Sound Power'!$D7*1000+'ModelParams Lw'!C$6)/'ModelParams Lw'!C$7))+'ModelParams Lw'!C$5)*LN('Sound Power'!$B7)-('ModelParams Lw'!C$8+'ModelParams Lw'!C$9*$D7+'ModelParams Lw'!C$10*'Sound Power'!$E7^'ModelParams Lw'!C$14+'ModelParams Lw'!C$11*LN('Sound Power'!G7)+'ModelParams Lw'!C$12*'Sound Power'!$D7*'Sound Power'!$E7+'ModelParams Lw'!C$13*'Sound Power'!$D7*LN('Sound Power'!G7)))</f>
        <v>33.888307687263989</v>
      </c>
      <c r="P7" s="17">
        <f>IF(('ModelParams Lw'!D$4*LN('Sound Power'!H7)/(1+EXP(-('Sound Power'!$D7*1000+'ModelParams Lw'!D$6)/'ModelParams Lw'!D$7))+'ModelParams Lw'!D$5)*LN('Sound Power'!$B7)-('ModelParams Lw'!D$8+'ModelParams Lw'!D$9*$D7+'ModelParams Lw'!D$10*'Sound Power'!$E7^'ModelParams Lw'!D$14+'ModelParams Lw'!D$11*LN('Sound Power'!H7)+'ModelParams Lw'!D$12*'Sound Power'!$D7*'Sound Power'!$E7+'ModelParams Lw'!D$13*'Sound Power'!$D7*LN('Sound Power'!H7))&lt;0,"",('ModelParams Lw'!D$4*LN('Sound Power'!H7)/(1+EXP(-('Sound Power'!$D7*1000+'ModelParams Lw'!D$6)/'ModelParams Lw'!D$7))+'ModelParams Lw'!D$5)*LN('Sound Power'!$B7)-('ModelParams Lw'!D$8+'ModelParams Lw'!D$9*$D7+'ModelParams Lw'!D$10*'Sound Power'!$E7^'ModelParams Lw'!D$14+'ModelParams Lw'!D$11*LN('Sound Power'!H7)+'ModelParams Lw'!D$12*'Sound Power'!$D7*'Sound Power'!$E7+'ModelParams Lw'!D$13*'Sound Power'!$D7*LN('Sound Power'!H7)))</f>
        <v>21.903137190672652</v>
      </c>
      <c r="Q7" s="17">
        <f>IF(('ModelParams Lw'!E$4*LN('Sound Power'!I7)/(1+EXP(-('Sound Power'!$D7*1000+'ModelParams Lw'!E$6)/'ModelParams Lw'!E$7))+'ModelParams Lw'!E$5)*LN('Sound Power'!$B7)-('ModelParams Lw'!E$8+'ModelParams Lw'!E$9*$D7+'ModelParams Lw'!E$10*'Sound Power'!$E7^'ModelParams Lw'!E$14+'ModelParams Lw'!E$11*LN('Sound Power'!I7)+'ModelParams Lw'!E$12*'Sound Power'!$D7*'Sound Power'!$E7+'ModelParams Lw'!E$13*'Sound Power'!$D7*LN('Sound Power'!I7))&lt;0,"",('ModelParams Lw'!E$4*LN('Sound Power'!I7)/(1+EXP(-('Sound Power'!$D7*1000+'ModelParams Lw'!E$6)/'ModelParams Lw'!E$7))+'ModelParams Lw'!E$5)*LN('Sound Power'!$B7)-('ModelParams Lw'!E$8+'ModelParams Lw'!E$9*$D7+'ModelParams Lw'!E$10*'Sound Power'!$E7^'ModelParams Lw'!E$14+'ModelParams Lw'!E$11*LN('Sound Power'!I7)+'ModelParams Lw'!E$12*'Sound Power'!$D7*'Sound Power'!$E7+'ModelParams Lw'!E$13*'Sound Power'!$D7*LN('Sound Power'!I7)))</f>
        <v>16.489880292868122</v>
      </c>
      <c r="R7" s="17">
        <f>IF(('ModelParams Lw'!F$4*LN('Sound Power'!J7)/(1+EXP(-('Sound Power'!$D7*1000+'ModelParams Lw'!F$6)/'ModelParams Lw'!F$7))+'ModelParams Lw'!F$5)*LN('Sound Power'!$B7)-('ModelParams Lw'!F$8+'ModelParams Lw'!F$9*$D7+'ModelParams Lw'!F$10*'Sound Power'!$E7^'ModelParams Lw'!F$14+'ModelParams Lw'!F$11*LN('Sound Power'!J7)+'ModelParams Lw'!F$12*'Sound Power'!$D7*'Sound Power'!$E7+'ModelParams Lw'!F$13*'Sound Power'!$D7*LN('Sound Power'!J7))&lt;0,"",('ModelParams Lw'!F$4*LN('Sound Power'!J7)/(1+EXP(-('Sound Power'!$D7*1000+'ModelParams Lw'!F$6)/'ModelParams Lw'!F$7))+'ModelParams Lw'!F$5)*LN('Sound Power'!$B7)-('ModelParams Lw'!F$8+'ModelParams Lw'!F$9*$D7+'ModelParams Lw'!F$10*'Sound Power'!$E7^'ModelParams Lw'!F$14+'ModelParams Lw'!F$11*LN('Sound Power'!J7)+'ModelParams Lw'!F$12*'Sound Power'!$D7*'Sound Power'!$E7+'ModelParams Lw'!F$13*'Sound Power'!$D7*LN('Sound Power'!J7)))</f>
        <v>4.0372461300873397</v>
      </c>
      <c r="S7" s="17" t="str">
        <f>IF(('ModelParams Lw'!G$4*LN('Sound Power'!K7)/(1+EXP(-('Sound Power'!$D7*1000+'ModelParams Lw'!G$6)/'ModelParams Lw'!G$7))+'ModelParams Lw'!G$5)*LN('Sound Power'!$B7)-('ModelParams Lw'!G$8+'ModelParams Lw'!G$9*$D7+'ModelParams Lw'!G$10*'Sound Power'!$E7^'ModelParams Lw'!G$14+'ModelParams Lw'!G$11*LN('Sound Power'!K7)+'ModelParams Lw'!G$12*'Sound Power'!$D7*'Sound Power'!$E7+'ModelParams Lw'!G$13*'Sound Power'!$D7*LN('Sound Power'!K7))&lt;0,"",('ModelParams Lw'!G$4*LN('Sound Power'!K7)/(1+EXP(-('Sound Power'!$D7*1000+'ModelParams Lw'!G$6)/'ModelParams Lw'!G$7))+'ModelParams Lw'!G$5)*LN('Sound Power'!$B7)-('ModelParams Lw'!G$8+'ModelParams Lw'!G$9*$D7+'ModelParams Lw'!G$10*'Sound Power'!$E7^'ModelParams Lw'!G$14+'ModelParams Lw'!G$11*LN('Sound Power'!K7)+'ModelParams Lw'!G$12*'Sound Power'!$D7*'Sound Power'!$E7+'ModelParams Lw'!G$13*'Sound Power'!$D7*LN('Sound Power'!K7)))</f>
        <v/>
      </c>
      <c r="T7" s="17" t="str">
        <f>IF(('ModelParams Lw'!H$4*LN('Sound Power'!L7)/(1+EXP(-('Sound Power'!$D7*1000+'ModelParams Lw'!H$6)/'ModelParams Lw'!H$7))+'ModelParams Lw'!H$5)*LN('Sound Power'!$B7)-('ModelParams Lw'!H$8+'ModelParams Lw'!H$9*$D7+'ModelParams Lw'!H$10*'Sound Power'!$E7^'ModelParams Lw'!H$14+'ModelParams Lw'!H$11*LN('Sound Power'!L7)+'ModelParams Lw'!H$12*'Sound Power'!$D7*'Sound Power'!$E7+'ModelParams Lw'!H$13*'Sound Power'!$D7*LN('Sound Power'!L7))&lt;0,"",('ModelParams Lw'!H$4*LN('Sound Power'!L7)/(1+EXP(-('Sound Power'!$D7*1000+'ModelParams Lw'!H$6)/'ModelParams Lw'!H$7))+'ModelParams Lw'!H$5)*LN('Sound Power'!$B7)-('ModelParams Lw'!H$8+'ModelParams Lw'!H$9*$D7+'ModelParams Lw'!H$10*'Sound Power'!$E7^'ModelParams Lw'!H$14+'ModelParams Lw'!H$11*LN('Sound Power'!L7)+'ModelParams Lw'!H$12*'Sound Power'!$D7*'Sound Power'!$E7+'ModelParams Lw'!H$13*'Sound Power'!$D7*LN('Sound Power'!L7)))</f>
        <v/>
      </c>
      <c r="U7" s="17" t="str">
        <f>IF(('ModelParams Lw'!I$4*LN('Sound Power'!M7)/(1+EXP(-('Sound Power'!$D7*1000+'ModelParams Lw'!I$6)/'ModelParams Lw'!I$7))+'ModelParams Lw'!I$5)*LN('Sound Power'!$B7)-('ModelParams Lw'!I$8+'ModelParams Lw'!I$9*$D7+'ModelParams Lw'!I$10*'Sound Power'!$E7^'ModelParams Lw'!I$14+'ModelParams Lw'!I$11*LN('Sound Power'!M7)+'ModelParams Lw'!I$12*'Sound Power'!$D7*'Sound Power'!$E7+'ModelParams Lw'!I$13*'Sound Power'!$D7*LN('Sound Power'!M7))&lt;0,"",('ModelParams Lw'!I$4*LN('Sound Power'!M7)/(1+EXP(-('Sound Power'!$D7*1000+'ModelParams Lw'!I$6)/'ModelParams Lw'!I$7))+'ModelParams Lw'!I$5)*LN('Sound Power'!$B7)-('ModelParams Lw'!I$8+'ModelParams Lw'!I$9*$D7+'ModelParams Lw'!I$10*'Sound Power'!$E7^'ModelParams Lw'!I$14+'ModelParams Lw'!I$11*LN('Sound Power'!M7)+'ModelParams Lw'!I$12*'Sound Power'!$D7*'Sound Power'!$E7+'ModelParams Lw'!I$13*'Sound Power'!$D7*LN('Sound Power'!M7)))</f>
        <v/>
      </c>
      <c r="V7" s="17">
        <f>IF(ISERR(10*LOG10(IF(N7="",0,POWER(10,((N7+'ModelParams Lw'!$O$4)/10))) +IF(O7="",0,POWER(10,((O7+'ModelParams Lw'!$P$4)/10))) +IF(P7="",0,POWER(10,((P7+'ModelParams Lw'!$Q$4)/10))) +IF(Q7="",0,POWER(10,((Q7+'ModelParams Lw'!$R$4)/10))) +IF(R7="",0,POWER(10,((R7+'ModelParams Lw'!$S$4)/10))) +IF(S7="",0,POWER(10,((S7+'ModelParams Lw'!$T$4)/10))) +IF(T7="",0,POWER(10,((T7+'ModelParams Lw'!$U$4)/10)))+IF(U7="",0,POWER(10,((U7+'ModelParams Lw'!$V$4)/10))))),0,10*LOG10(IF(N7="",0,POWER(10,((N7+'ModelParams Lw'!$O$4)/10))) +IF(O7="",0,POWER(10,((O7+'ModelParams Lw'!$P$4)/10))) +IF(P7="",0,POWER(10,((P7+'ModelParams Lw'!$Q$4)/10))) +IF(Q7="",0,POWER(10,((Q7+'ModelParams Lw'!$R$4)/10))) +IF(R7="",0,POWER(10,((R7+'ModelParams Lw'!$S$4)/10))) +IF(S7="",0,POWER(10,((S7+'ModelParams Lw'!$T$4)/10))) +IF(T7="",0,POWER(10,((T7+'ModelParams Lw'!$U$4)/10)))+IF(U7="",0,POWER(10,((U7+'ModelParams Lw'!$V$4)/10)))))</f>
        <v>24.479462751332434</v>
      </c>
      <c r="W7" s="17">
        <f t="shared" si="1"/>
        <v>16.625641165980145</v>
      </c>
      <c r="X7" s="17">
        <f>IF(N7="","",(N7-'ModelParams Lw'!O$10)/'ModelParams Lw'!O$11)</f>
        <v>16.625641165980145</v>
      </c>
      <c r="Y7" s="17">
        <f>IF(O7="","",(O7-'ModelParams Lw'!P$10)/'ModelParams Lw'!P$11)</f>
        <v>13.66472147961378</v>
      </c>
      <c r="Z7" s="17">
        <f>IF(P7="","",(P7-'ModelParams Lw'!Q$10)/'ModelParams Lw'!Q$11)</f>
        <v>10.648534613626508</v>
      </c>
      <c r="AA7" s="17">
        <f>IF(Q7="","",(Q7-'ModelParams Lw'!R$10)/'ModelParams Lw'!R$11)</f>
        <v>12.001930485490885</v>
      </c>
      <c r="AB7" s="17">
        <f>IF(R7="","",(R7-'ModelParams Lw'!S$10)/'ModelParams Lw'!S$11)</f>
        <v>4.0372461300873397</v>
      </c>
      <c r="AC7" s="17" t="str">
        <f>IF(S7="","",(S7-'ModelParams Lw'!T$10)/'ModelParams Lw'!T$11)</f>
        <v/>
      </c>
      <c r="AD7" s="17" t="str">
        <f>IF(T7="","",(T7-'ModelParams Lw'!U$10)/'ModelParams Lw'!U$11)</f>
        <v/>
      </c>
      <c r="AE7" s="17" t="str">
        <f>IF(U7="","",(U7-'ModelParams Lw'!V$10)/'ModelParams Lw'!V$11)</f>
        <v/>
      </c>
    </row>
    <row r="8" spans="1:31" x14ac:dyDescent="0.2">
      <c r="A8" s="5">
        <f>Calcul!$C$8</f>
        <v>1500</v>
      </c>
      <c r="B8" s="5">
        <f t="shared" si="0"/>
        <v>1500</v>
      </c>
      <c r="C8" s="17">
        <f>'dPs vs Alfa'!F8</f>
        <v>5.5493302524857047</v>
      </c>
      <c r="D8" s="5">
        <f>Calcul!$C$6/1000</f>
        <v>1</v>
      </c>
      <c r="E8" s="5">
        <f>Calcul!$C$7/1000</f>
        <v>0.7</v>
      </c>
      <c r="F8" s="15">
        <f>DEGREES(ACOS(1-(1/'ModelParams Lw'!B$15*SQRT(0.5*1.2/'Sound Power'!$C8)*('Sound Power'!$B8/3600)/('Sound Power'!$D8)/('Sound Power'!$E8))))</f>
        <v>9.2822311279762329E-2</v>
      </c>
      <c r="G8" s="15">
        <f>DEGREES(ACOS(1-(1/'ModelParams Lw'!C$15*SQRT(0.5*1.2/'Sound Power'!$C8)*('Sound Power'!$B8/3600)/('Sound Power'!$D8)/('Sound Power'!$E8))))</f>
        <v>0.17980735026596492</v>
      </c>
      <c r="H8" s="15">
        <f>DEGREES(ACOS(1-(1/'ModelParams Lw'!D$15*SQRT(0.5*1.2/'Sound Power'!$C8)*('Sound Power'!$B8/3600)/('Sound Power'!$D8)/('Sound Power'!$E8))))</f>
        <v>0.20917984872467868</v>
      </c>
      <c r="I8" s="15">
        <f>DEGREES(ACOS(1-(1/'ModelParams Lw'!E$15*SQRT(0.5*1.2/'Sound Power'!$C8)*('Sound Power'!$B8/3600)/('Sound Power'!$D8)/('Sound Power'!$E8))))</f>
        <v>0.16568636970485692</v>
      </c>
      <c r="J8" s="15">
        <f>DEGREES(ACOS(1-(1/'ModelParams Lw'!F$15*SQRT(0.5*1.2/'Sound Power'!$C8)*('Sound Power'!$B8/3600)/('Sound Power'!$D8)/('Sound Power'!$E8))))</f>
        <v>0.11149246181857744</v>
      </c>
      <c r="K8" s="15">
        <f>DEGREES(ACOS(1-(1/'ModelParams Lw'!G$15*SQRT(0.5*1.2/'Sound Power'!$C8)*('Sound Power'!$B8/3600)/('Sound Power'!$D8)/('Sound Power'!$E8))))</f>
        <v>9.1839919958955046E-2</v>
      </c>
      <c r="L8" s="15">
        <f>DEGREES(ACOS(1-(1/'ModelParams Lw'!H$15*SQRT(0.5*1.2/'Sound Power'!$C8)*('Sound Power'!$B8/3600)/('Sound Power'!$D8)/('Sound Power'!$E8))))</f>
        <v>8.2855462871248939E-2</v>
      </c>
      <c r="M8" s="15">
        <f>DEGREES(ACOS(1-(1/'ModelParams Lw'!I$15*SQRT(0.5*1.2/'Sound Power'!$C8)*('Sound Power'!$B8/3600)/('Sound Power'!$D8)/('Sound Power'!$E8))))</f>
        <v>0.12050880733350602</v>
      </c>
      <c r="N8" s="17">
        <f>IF(('ModelParams Lw'!B$4*LN('Sound Power'!F8)/(1+EXP(-('Sound Power'!$D8*1000+'ModelParams Lw'!B$6)/'ModelParams Lw'!B$7))+'ModelParams Lw'!B$5)*LN('Sound Power'!$B8)-('ModelParams Lw'!B$8+'ModelParams Lw'!B$9*$D8+'ModelParams Lw'!B$10*'Sound Power'!$E8^'ModelParams Lw'!B$14+'ModelParams Lw'!B$11*LN('Sound Power'!F8)+'ModelParams Lw'!B$12*'Sound Power'!$D8*'Sound Power'!$E8+'ModelParams Lw'!B$13*'Sound Power'!$D8*LN('Sound Power'!F8))&lt;0,"",('ModelParams Lw'!B$4*LN('Sound Power'!F8)/(1+EXP(-('Sound Power'!$D8*1000+'ModelParams Lw'!B$6)/'ModelParams Lw'!B$7))+'ModelParams Lw'!B$5)*LN('Sound Power'!$B8)-('ModelParams Lw'!B$8+'ModelParams Lw'!B$9*$D8+'ModelParams Lw'!B$10*'Sound Power'!$E8^'ModelParams Lw'!B$14+'ModelParams Lw'!B$11*LN('Sound Power'!F8)+'ModelParams Lw'!B$12*'Sound Power'!$D8*'Sound Power'!$E8+'ModelParams Lw'!B$13*'Sound Power'!$D8*LN('Sound Power'!F8)))</f>
        <v>55.094107556055945</v>
      </c>
      <c r="O8" s="17">
        <f>IF(('ModelParams Lw'!C$4*LN('Sound Power'!G8)/(1+EXP(-('Sound Power'!$D8*1000+'ModelParams Lw'!C$6)/'ModelParams Lw'!C$7))+'ModelParams Lw'!C$5)*LN('Sound Power'!$B8)-('ModelParams Lw'!C$8+'ModelParams Lw'!C$9*$D8+'ModelParams Lw'!C$10*'Sound Power'!$E8^'ModelParams Lw'!C$14+'ModelParams Lw'!C$11*LN('Sound Power'!G8)+'ModelParams Lw'!C$12*'Sound Power'!$D8*'Sound Power'!$E8+'ModelParams Lw'!C$13*'Sound Power'!$D8*LN('Sound Power'!G8))&lt;0,"",('ModelParams Lw'!C$4*LN('Sound Power'!G8)/(1+EXP(-('Sound Power'!$D8*1000+'ModelParams Lw'!C$6)/'ModelParams Lw'!C$7))+'ModelParams Lw'!C$5)*LN('Sound Power'!$B8)-('ModelParams Lw'!C$8+'ModelParams Lw'!C$9*$D8+'ModelParams Lw'!C$10*'Sound Power'!$E8^'ModelParams Lw'!C$14+'ModelParams Lw'!C$11*LN('Sound Power'!G8)+'ModelParams Lw'!C$12*'Sound Power'!$D8*'Sound Power'!$E8+'ModelParams Lw'!C$13*'Sound Power'!$D8*LN('Sound Power'!G8)))</f>
        <v>41.537112284806852</v>
      </c>
      <c r="P8" s="17">
        <f>IF(('ModelParams Lw'!D$4*LN('Sound Power'!H8)/(1+EXP(-('Sound Power'!$D8*1000+'ModelParams Lw'!D$6)/'ModelParams Lw'!D$7))+'ModelParams Lw'!D$5)*LN('Sound Power'!$B8)-('ModelParams Lw'!D$8+'ModelParams Lw'!D$9*$D8+'ModelParams Lw'!D$10*'Sound Power'!$E8^'ModelParams Lw'!D$14+'ModelParams Lw'!D$11*LN('Sound Power'!H8)+'ModelParams Lw'!D$12*'Sound Power'!$D8*'Sound Power'!$E8+'ModelParams Lw'!D$13*'Sound Power'!$D8*LN('Sound Power'!H8))&lt;0,"",('ModelParams Lw'!D$4*LN('Sound Power'!H8)/(1+EXP(-('Sound Power'!$D8*1000+'ModelParams Lw'!D$6)/'ModelParams Lw'!D$7))+'ModelParams Lw'!D$5)*LN('Sound Power'!$B8)-('ModelParams Lw'!D$8+'ModelParams Lw'!D$9*$D8+'ModelParams Lw'!D$10*'Sound Power'!$E8^'ModelParams Lw'!D$14+'ModelParams Lw'!D$11*LN('Sound Power'!H8)+'ModelParams Lw'!D$12*'Sound Power'!$D8*'Sound Power'!$E8+'ModelParams Lw'!D$13*'Sound Power'!$D8*LN('Sound Power'!H8)))</f>
        <v>31.988954533860863</v>
      </c>
      <c r="Q8" s="17">
        <f>IF(('ModelParams Lw'!E$4*LN('Sound Power'!I8)/(1+EXP(-('Sound Power'!$D8*1000+'ModelParams Lw'!E$6)/'ModelParams Lw'!E$7))+'ModelParams Lw'!E$5)*LN('Sound Power'!$B8)-('ModelParams Lw'!E$8+'ModelParams Lw'!E$9*$D8+'ModelParams Lw'!E$10*'Sound Power'!$E8^'ModelParams Lw'!E$14+'ModelParams Lw'!E$11*LN('Sound Power'!I8)+'ModelParams Lw'!E$12*'Sound Power'!$D8*'Sound Power'!$E8+'ModelParams Lw'!E$13*'Sound Power'!$D8*LN('Sound Power'!I8))&lt;0,"",('ModelParams Lw'!E$4*LN('Sound Power'!I8)/(1+EXP(-('Sound Power'!$D8*1000+'ModelParams Lw'!E$6)/'ModelParams Lw'!E$7))+'ModelParams Lw'!E$5)*LN('Sound Power'!$B8)-('ModelParams Lw'!E$8+'ModelParams Lw'!E$9*$D8+'ModelParams Lw'!E$10*'Sound Power'!$E8^'ModelParams Lw'!E$14+'ModelParams Lw'!E$11*LN('Sound Power'!I8)+'ModelParams Lw'!E$12*'Sound Power'!$D8*'Sound Power'!$E8+'ModelParams Lw'!E$13*'Sound Power'!$D8*LN('Sound Power'!I8)))</f>
        <v>28.71672054420057</v>
      </c>
      <c r="R8" s="17">
        <f>IF(('ModelParams Lw'!F$4*LN('Sound Power'!J8)/(1+EXP(-('Sound Power'!$D8*1000+'ModelParams Lw'!F$6)/'ModelParams Lw'!F$7))+'ModelParams Lw'!F$5)*LN('Sound Power'!$B8)-('ModelParams Lw'!F$8+'ModelParams Lw'!F$9*$D8+'ModelParams Lw'!F$10*'Sound Power'!$E8^'ModelParams Lw'!F$14+'ModelParams Lw'!F$11*LN('Sound Power'!J8)+'ModelParams Lw'!F$12*'Sound Power'!$D8*'Sound Power'!$E8+'ModelParams Lw'!F$13*'Sound Power'!$D8*LN('Sound Power'!J8))&lt;0,"",('ModelParams Lw'!F$4*LN('Sound Power'!J8)/(1+EXP(-('Sound Power'!$D8*1000+'ModelParams Lw'!F$6)/'ModelParams Lw'!F$7))+'ModelParams Lw'!F$5)*LN('Sound Power'!$B8)-('ModelParams Lw'!F$8+'ModelParams Lw'!F$9*$D8+'ModelParams Lw'!F$10*'Sound Power'!$E8^'ModelParams Lw'!F$14+'ModelParams Lw'!F$11*LN('Sound Power'!J8)+'ModelParams Lw'!F$12*'Sound Power'!$D8*'Sound Power'!$E8+'ModelParams Lw'!F$13*'Sound Power'!$D8*LN('Sound Power'!J8)))</f>
        <v>18.111124498562077</v>
      </c>
      <c r="S8" s="17">
        <f>IF(('ModelParams Lw'!G$4*LN('Sound Power'!K8)/(1+EXP(-('Sound Power'!$D8*1000+'ModelParams Lw'!G$6)/'ModelParams Lw'!G$7))+'ModelParams Lw'!G$5)*LN('Sound Power'!$B8)-('ModelParams Lw'!G$8+'ModelParams Lw'!G$9*$D8+'ModelParams Lw'!G$10*'Sound Power'!$E8^'ModelParams Lw'!G$14+'ModelParams Lw'!G$11*LN('Sound Power'!K8)+'ModelParams Lw'!G$12*'Sound Power'!$D8*'Sound Power'!$E8+'ModelParams Lw'!G$13*'Sound Power'!$D8*LN('Sound Power'!K8))&lt;0,"",('ModelParams Lw'!G$4*LN('Sound Power'!K8)/(1+EXP(-('Sound Power'!$D8*1000+'ModelParams Lw'!G$6)/'ModelParams Lw'!G$7))+'ModelParams Lw'!G$5)*LN('Sound Power'!$B8)-('ModelParams Lw'!G$8+'ModelParams Lw'!G$9*$D8+'ModelParams Lw'!G$10*'Sound Power'!$E8^'ModelParams Lw'!G$14+'ModelParams Lw'!G$11*LN('Sound Power'!K8)+'ModelParams Lw'!G$12*'Sound Power'!$D8*'Sound Power'!$E8+'ModelParams Lw'!G$13*'Sound Power'!$D8*LN('Sound Power'!K8)))</f>
        <v>7.638069108738506</v>
      </c>
      <c r="T8" s="17" t="str">
        <f>IF(('ModelParams Lw'!H$4*LN('Sound Power'!L8)/(1+EXP(-('Sound Power'!$D8*1000+'ModelParams Lw'!H$6)/'ModelParams Lw'!H$7))+'ModelParams Lw'!H$5)*LN('Sound Power'!$B8)-('ModelParams Lw'!H$8+'ModelParams Lw'!H$9*$D8+'ModelParams Lw'!H$10*'Sound Power'!$E8^'ModelParams Lw'!H$14+'ModelParams Lw'!H$11*LN('Sound Power'!L8)+'ModelParams Lw'!H$12*'Sound Power'!$D8*'Sound Power'!$E8+'ModelParams Lw'!H$13*'Sound Power'!$D8*LN('Sound Power'!L8))&lt;0,"",('ModelParams Lw'!H$4*LN('Sound Power'!L8)/(1+EXP(-('Sound Power'!$D8*1000+'ModelParams Lw'!H$6)/'ModelParams Lw'!H$7))+'ModelParams Lw'!H$5)*LN('Sound Power'!$B8)-('ModelParams Lw'!H$8+'ModelParams Lw'!H$9*$D8+'ModelParams Lw'!H$10*'Sound Power'!$E8^'ModelParams Lw'!H$14+'ModelParams Lw'!H$11*LN('Sound Power'!L8)+'ModelParams Lw'!H$12*'Sound Power'!$D8*'Sound Power'!$E8+'ModelParams Lw'!H$13*'Sound Power'!$D8*LN('Sound Power'!L8)))</f>
        <v/>
      </c>
      <c r="U8" s="17" t="str">
        <f>IF(('ModelParams Lw'!I$4*LN('Sound Power'!M8)/(1+EXP(-('Sound Power'!$D8*1000+'ModelParams Lw'!I$6)/'ModelParams Lw'!I$7))+'ModelParams Lw'!I$5)*LN('Sound Power'!$B8)-('ModelParams Lw'!I$8+'ModelParams Lw'!I$9*$D8+'ModelParams Lw'!I$10*'Sound Power'!$E8^'ModelParams Lw'!I$14+'ModelParams Lw'!I$11*LN('Sound Power'!M8)+'ModelParams Lw'!I$12*'Sound Power'!$D8*'Sound Power'!$E8+'ModelParams Lw'!I$13*'Sound Power'!$D8*LN('Sound Power'!M8))&lt;0,"",('ModelParams Lw'!I$4*LN('Sound Power'!M8)/(1+EXP(-('Sound Power'!$D8*1000+'ModelParams Lw'!I$6)/'ModelParams Lw'!I$7))+'ModelParams Lw'!I$5)*LN('Sound Power'!$B8)-('ModelParams Lw'!I$8+'ModelParams Lw'!I$9*$D8+'ModelParams Lw'!I$10*'Sound Power'!$E8^'ModelParams Lw'!I$14+'ModelParams Lw'!I$11*LN('Sound Power'!M8)+'ModelParams Lw'!I$12*'Sound Power'!$D8*'Sound Power'!$E8+'ModelParams Lw'!I$13*'Sound Power'!$D8*LN('Sound Power'!M8)))</f>
        <v/>
      </c>
      <c r="V8" s="17">
        <f>IF(ISERR(10*LOG10(IF(N8="",0,POWER(10,((N8+'ModelParams Lw'!$O$4)/10))) +IF(O8="",0,POWER(10,((O8+'ModelParams Lw'!$P$4)/10))) +IF(P8="",0,POWER(10,((P8+'ModelParams Lw'!$Q$4)/10))) +IF(Q8="",0,POWER(10,((Q8+'ModelParams Lw'!$R$4)/10))) +IF(R8="",0,POWER(10,((R8+'ModelParams Lw'!$S$4)/10))) +IF(S8="",0,POWER(10,((S8+'ModelParams Lw'!$T$4)/10))) +IF(T8="",0,POWER(10,((T8+'ModelParams Lw'!$U$4)/10)))+IF(U8="",0,POWER(10,((U8+'ModelParams Lw'!$V$4)/10))))),0,10*LOG10(IF(N8="",0,POWER(10,((N8+'ModelParams Lw'!$O$4)/10))) +IF(O8="",0,POWER(10,((O8+'ModelParams Lw'!$P$4)/10))) +IF(P8="",0,POWER(10,((P8+'ModelParams Lw'!$Q$4)/10))) +IF(Q8="",0,POWER(10,((Q8+'ModelParams Lw'!$R$4)/10))) +IF(R8="",0,POWER(10,((R8+'ModelParams Lw'!$S$4)/10))) +IF(S8="",0,POWER(10,((S8+'ModelParams Lw'!$T$4)/10))) +IF(T8="",0,POWER(10,((T8+'ModelParams Lw'!$U$4)/10)))+IF(U8="",0,POWER(10,((U8+'ModelParams Lw'!$V$4)/10)))))</f>
        <v>32.483885416621007</v>
      </c>
      <c r="W8" s="17">
        <f t="shared" si="1"/>
        <v>24.80266779247588</v>
      </c>
      <c r="X8" s="17">
        <f>IF(N8="","",(N8-'ModelParams Lw'!O$10)/'ModelParams Lw'!O$11)</f>
        <v>24.80266779247588</v>
      </c>
      <c r="Y8" s="17">
        <f>IF(O8="","",(O8-'ModelParams Lw'!P$10)/'ModelParams Lw'!P$11)</f>
        <v>22.456450902076842</v>
      </c>
      <c r="Z8" s="17">
        <f>IF(P8="","",(P8-'ModelParams Lw'!Q$10)/'ModelParams Lw'!Q$11)</f>
        <v>21.493499498775119</v>
      </c>
      <c r="AA8" s="17">
        <f>IF(Q8="","",(Q8-'ModelParams Lw'!R$10)/'ModelParams Lw'!R$11)</f>
        <v>24.555154562834261</v>
      </c>
      <c r="AB8" s="17">
        <f>IF(R8="","",(R8-'ModelParams Lw'!S$10)/'ModelParams Lw'!S$11)</f>
        <v>18.111124498562077</v>
      </c>
      <c r="AC8" s="17">
        <f>IF(S8="","",(S8-'ModelParams Lw'!T$10)/'ModelParams Lw'!T$11)</f>
        <v>10.973467102205426</v>
      </c>
      <c r="AD8" s="17" t="str">
        <f>IF(T8="","",(T8-'ModelParams Lw'!U$10)/'ModelParams Lw'!U$11)</f>
        <v/>
      </c>
      <c r="AE8" s="17" t="str">
        <f>IF(U8="","",(U8-'ModelParams Lw'!V$10)/'ModelParams Lw'!V$11)</f>
        <v/>
      </c>
    </row>
    <row r="9" spans="1:31" x14ac:dyDescent="0.2">
      <c r="A9" s="5">
        <f>Calcul!$C$8</f>
        <v>1500</v>
      </c>
      <c r="B9" s="5">
        <f t="shared" si="0"/>
        <v>1500</v>
      </c>
      <c r="C9" s="17">
        <f>'dPs vs Alfa'!G8</f>
        <v>20.432425302886887</v>
      </c>
      <c r="D9" s="5">
        <f>Calcul!$C$6/1000</f>
        <v>1</v>
      </c>
      <c r="E9" s="5">
        <f>Calcul!$C$7/1000</f>
        <v>0.7</v>
      </c>
      <c r="F9" s="15">
        <f>DEGREES(ACOS(1-(1/'ModelParams Lw'!B$15*SQRT(0.5*1.2/'Sound Power'!$C9)*('Sound Power'!$B9/3600)/('Sound Power'!$D9)/('Sound Power'!$E9))))</f>
        <v>6.7008904564735114E-2</v>
      </c>
      <c r="G9" s="15">
        <f>DEGREES(ACOS(1-(1/'ModelParams Lw'!C$15*SQRT(0.5*1.2/'Sound Power'!$C9)*('Sound Power'!$B9/3600)/('Sound Power'!$D9)/('Sound Power'!$E9))))</f>
        <v>0.12980383348276509</v>
      </c>
      <c r="H9" s="15">
        <f>DEGREES(ACOS(1-(1/'ModelParams Lw'!D$15*SQRT(0.5*1.2/'Sound Power'!$C9)*('Sound Power'!$B9/3600)/('Sound Power'!$D9)/('Sound Power'!$E9))))</f>
        <v>0.15100797784928835</v>
      </c>
      <c r="I9" s="15">
        <f>DEGREES(ACOS(1-(1/'ModelParams Lw'!E$15*SQRT(0.5*1.2/'Sound Power'!$C9)*('Sound Power'!$B9/3600)/('Sound Power'!$D9)/('Sound Power'!$E9))))</f>
        <v>0.11960982990542672</v>
      </c>
      <c r="J9" s="15">
        <f>DEGREES(ACOS(1-(1/'ModelParams Lw'!F$15*SQRT(0.5*1.2/'Sound Power'!$C9)*('Sound Power'!$B9/3600)/('Sound Power'!$D9)/('Sound Power'!$E9))))</f>
        <v>8.0486980521544807E-2</v>
      </c>
      <c r="K9" s="15">
        <f>DEGREES(ACOS(1-(1/'ModelParams Lw'!G$15*SQRT(0.5*1.2/'Sound Power'!$C9)*('Sound Power'!$B9/3600)/('Sound Power'!$D9)/('Sound Power'!$E9))))</f>
        <v>6.6299711282956947E-2</v>
      </c>
      <c r="L9" s="15">
        <f>DEGREES(ACOS(1-(1/'ModelParams Lw'!H$15*SQRT(0.5*1.2/'Sound Power'!$C9)*('Sound Power'!$B9/3600)/('Sound Power'!$D9)/('Sound Power'!$E9))))</f>
        <v>5.9813785999379414E-2</v>
      </c>
      <c r="M9" s="15">
        <f>DEGREES(ACOS(1-(1/'ModelParams Lw'!I$15*SQRT(0.5*1.2/'Sound Power'!$C9)*('Sound Power'!$B9/3600)/('Sound Power'!$D9)/('Sound Power'!$E9))))</f>
        <v>8.69959255280746E-2</v>
      </c>
      <c r="N9" s="17">
        <f>IF(('ModelParams Lw'!B$4*LN('Sound Power'!F9)/(1+EXP(-('Sound Power'!$D9*1000+'ModelParams Lw'!B$6)/'ModelParams Lw'!B$7))+'ModelParams Lw'!B$5)*LN('Sound Power'!$B9)-('ModelParams Lw'!B$8+'ModelParams Lw'!B$9*$D9+'ModelParams Lw'!B$10*'Sound Power'!$E9^'ModelParams Lw'!B$14+'ModelParams Lw'!B$11*LN('Sound Power'!F9)+'ModelParams Lw'!B$12*'Sound Power'!$D9*'Sound Power'!$E9+'ModelParams Lw'!B$13*'Sound Power'!$D9*LN('Sound Power'!F9))&lt;0,"",('ModelParams Lw'!B$4*LN('Sound Power'!F9)/(1+EXP(-('Sound Power'!$D9*1000+'ModelParams Lw'!B$6)/'ModelParams Lw'!B$7))+'ModelParams Lw'!B$5)*LN('Sound Power'!$B9)-('ModelParams Lw'!B$8+'ModelParams Lw'!B$9*$D9+'ModelParams Lw'!B$10*'Sound Power'!$E9^'ModelParams Lw'!B$14+'ModelParams Lw'!B$11*LN('Sound Power'!F9)+'ModelParams Lw'!B$12*'Sound Power'!$D9*'Sound Power'!$E9+'ModelParams Lw'!B$13*'Sound Power'!$D9*LN('Sound Power'!F9)))</f>
        <v>61.553957636068276</v>
      </c>
      <c r="O9" s="17">
        <f>IF(('ModelParams Lw'!C$4*LN('Sound Power'!G9)/(1+EXP(-('Sound Power'!$D9*1000+'ModelParams Lw'!C$6)/'ModelParams Lw'!C$7))+'ModelParams Lw'!C$5)*LN('Sound Power'!$B9)-('ModelParams Lw'!C$8+'ModelParams Lw'!C$9*$D9+'ModelParams Lw'!C$10*'Sound Power'!$E9^'ModelParams Lw'!C$14+'ModelParams Lw'!C$11*LN('Sound Power'!G9)+'ModelParams Lw'!C$12*'Sound Power'!$D9*'Sound Power'!$E9+'ModelParams Lw'!C$13*'Sound Power'!$D9*LN('Sound Power'!G9))&lt;0,"",('ModelParams Lw'!C$4*LN('Sound Power'!G9)/(1+EXP(-('Sound Power'!$D9*1000+'ModelParams Lw'!C$6)/'ModelParams Lw'!C$7))+'ModelParams Lw'!C$5)*LN('Sound Power'!$B9)-('ModelParams Lw'!C$8+'ModelParams Lw'!C$9*$D9+'ModelParams Lw'!C$10*'Sound Power'!$E9^'ModelParams Lw'!C$14+'ModelParams Lw'!C$11*LN('Sound Power'!G9)+'ModelParams Lw'!C$12*'Sound Power'!$D9*'Sound Power'!$E9+'ModelParams Lw'!C$13*'Sound Power'!$D9*LN('Sound Power'!G9)))</f>
        <v>49.185912644296423</v>
      </c>
      <c r="P9" s="17">
        <f>IF(('ModelParams Lw'!D$4*LN('Sound Power'!H9)/(1+EXP(-('Sound Power'!$D9*1000+'ModelParams Lw'!D$6)/'ModelParams Lw'!D$7))+'ModelParams Lw'!D$5)*LN('Sound Power'!$B9)-('ModelParams Lw'!D$8+'ModelParams Lw'!D$9*$D9+'ModelParams Lw'!D$10*'Sound Power'!$E9^'ModelParams Lw'!D$14+'ModelParams Lw'!D$11*LN('Sound Power'!H9)+'ModelParams Lw'!D$12*'Sound Power'!$D9*'Sound Power'!$E9+'ModelParams Lw'!D$13*'Sound Power'!$D9*LN('Sound Power'!H9))&lt;0,"",('ModelParams Lw'!D$4*LN('Sound Power'!H9)/(1+EXP(-('Sound Power'!$D9*1000+'ModelParams Lw'!D$6)/'ModelParams Lw'!D$7))+'ModelParams Lw'!D$5)*LN('Sound Power'!$B9)-('ModelParams Lw'!D$8+'ModelParams Lw'!D$9*$D9+'ModelParams Lw'!D$10*'Sound Power'!$E9^'ModelParams Lw'!D$14+'ModelParams Lw'!D$11*LN('Sound Power'!H9)+'ModelParams Lw'!D$12*'Sound Power'!$D9*'Sound Power'!$E9+'ModelParams Lw'!D$13*'Sound Power'!$D9*LN('Sound Power'!H9)))</f>
        <v>42.074764313967421</v>
      </c>
      <c r="Q9" s="17">
        <f>IF(('ModelParams Lw'!E$4*LN('Sound Power'!I9)/(1+EXP(-('Sound Power'!$D9*1000+'ModelParams Lw'!E$6)/'ModelParams Lw'!E$7))+'ModelParams Lw'!E$5)*LN('Sound Power'!$B9)-('ModelParams Lw'!E$8+'ModelParams Lw'!E$9*$D9+'ModelParams Lw'!E$10*'Sound Power'!$E9^'ModelParams Lw'!E$14+'ModelParams Lw'!E$11*LN('Sound Power'!I9)+'ModelParams Lw'!E$12*'Sound Power'!$D9*'Sound Power'!$E9+'ModelParams Lw'!E$13*'Sound Power'!$D9*LN('Sound Power'!I9))&lt;0,"",('ModelParams Lw'!E$4*LN('Sound Power'!I9)/(1+EXP(-('Sound Power'!$D9*1000+'ModelParams Lw'!E$6)/'ModelParams Lw'!E$7))+'ModelParams Lw'!E$5)*LN('Sound Power'!$B9)-('ModelParams Lw'!E$8+'ModelParams Lw'!E$9*$D9+'ModelParams Lw'!E$10*'Sound Power'!$E9^'ModelParams Lw'!E$14+'ModelParams Lw'!E$11*LN('Sound Power'!I9)+'ModelParams Lw'!E$12*'Sound Power'!$D9*'Sound Power'!$E9+'ModelParams Lw'!E$13*'Sound Power'!$D9*LN('Sound Power'!I9)))</f>
        <v>40.943555043481524</v>
      </c>
      <c r="R9" s="17">
        <f>IF(('ModelParams Lw'!F$4*LN('Sound Power'!J9)/(1+EXP(-('Sound Power'!$D9*1000+'ModelParams Lw'!F$6)/'ModelParams Lw'!F$7))+'ModelParams Lw'!F$5)*LN('Sound Power'!$B9)-('ModelParams Lw'!F$8+'ModelParams Lw'!F$9*$D9+'ModelParams Lw'!F$10*'Sound Power'!$E9^'ModelParams Lw'!F$14+'ModelParams Lw'!F$11*LN('Sound Power'!J9)+'ModelParams Lw'!F$12*'Sound Power'!$D9*'Sound Power'!$E9+'ModelParams Lw'!F$13*'Sound Power'!$D9*LN('Sound Power'!J9))&lt;0,"",('ModelParams Lw'!F$4*LN('Sound Power'!J9)/(1+EXP(-('Sound Power'!$D9*1000+'ModelParams Lw'!F$6)/'ModelParams Lw'!F$7))+'ModelParams Lw'!F$5)*LN('Sound Power'!$B9)-('ModelParams Lw'!F$8+'ModelParams Lw'!F$9*$D9+'ModelParams Lw'!F$10*'Sound Power'!$E9^'ModelParams Lw'!F$14+'ModelParams Lw'!F$11*LN('Sound Power'!J9)+'ModelParams Lw'!F$12*'Sound Power'!$D9*'Sound Power'!$E9+'ModelParams Lw'!F$13*'Sound Power'!$D9*LN('Sound Power'!J9)))</f>
        <v>32.184999870553582</v>
      </c>
      <c r="S9" s="17">
        <f>IF(('ModelParams Lw'!G$4*LN('Sound Power'!K9)/(1+EXP(-('Sound Power'!$D9*1000+'ModelParams Lw'!G$6)/'ModelParams Lw'!G$7))+'ModelParams Lw'!G$5)*LN('Sound Power'!$B9)-('ModelParams Lw'!G$8+'ModelParams Lw'!G$9*$D9+'ModelParams Lw'!G$10*'Sound Power'!$E9^'ModelParams Lw'!G$14+'ModelParams Lw'!G$11*LN('Sound Power'!K9)+'ModelParams Lw'!G$12*'Sound Power'!$D9*'Sound Power'!$E9+'ModelParams Lw'!G$13*'Sound Power'!$D9*LN('Sound Power'!K9))&lt;0,"",('ModelParams Lw'!G$4*LN('Sound Power'!K9)/(1+EXP(-('Sound Power'!$D9*1000+'ModelParams Lw'!G$6)/'ModelParams Lw'!G$7))+'ModelParams Lw'!G$5)*LN('Sound Power'!$B9)-('ModelParams Lw'!G$8+'ModelParams Lw'!G$9*$D9+'ModelParams Lw'!G$10*'Sound Power'!$E9^'ModelParams Lw'!G$14+'ModelParams Lw'!G$11*LN('Sound Power'!K9)+'ModelParams Lw'!G$12*'Sound Power'!$D9*'Sound Power'!$E9+'ModelParams Lw'!G$13*'Sound Power'!$D9*LN('Sound Power'!K9)))</f>
        <v>23.843319720487102</v>
      </c>
      <c r="T9" s="17">
        <f>IF(('ModelParams Lw'!H$4*LN('Sound Power'!L9)/(1+EXP(-('Sound Power'!$D9*1000+'ModelParams Lw'!H$6)/'ModelParams Lw'!H$7))+'ModelParams Lw'!H$5)*LN('Sound Power'!$B9)-('ModelParams Lw'!H$8+'ModelParams Lw'!H$9*$D9+'ModelParams Lw'!H$10*'Sound Power'!$E9^'ModelParams Lw'!H$14+'ModelParams Lw'!H$11*LN('Sound Power'!L9)+'ModelParams Lw'!H$12*'Sound Power'!$D9*'Sound Power'!$E9+'ModelParams Lw'!H$13*'Sound Power'!$D9*LN('Sound Power'!L9))&lt;0,"",('ModelParams Lw'!H$4*LN('Sound Power'!L9)/(1+EXP(-('Sound Power'!$D9*1000+'ModelParams Lw'!H$6)/'ModelParams Lw'!H$7))+'ModelParams Lw'!H$5)*LN('Sound Power'!$B9)-('ModelParams Lw'!H$8+'ModelParams Lw'!H$9*$D9+'ModelParams Lw'!H$10*'Sound Power'!$E9^'ModelParams Lw'!H$14+'ModelParams Lw'!H$11*LN('Sound Power'!L9)+'ModelParams Lw'!H$12*'Sound Power'!$D9*'Sound Power'!$E9+'ModelParams Lw'!H$13*'Sound Power'!$D9*LN('Sound Power'!L9)))</f>
        <v>15.557188759457574</v>
      </c>
      <c r="U9" s="17">
        <f>IF(('ModelParams Lw'!I$4*LN('Sound Power'!M9)/(1+EXP(-('Sound Power'!$D9*1000+'ModelParams Lw'!I$6)/'ModelParams Lw'!I$7))+'ModelParams Lw'!I$5)*LN('Sound Power'!$B9)-('ModelParams Lw'!I$8+'ModelParams Lw'!I$9*$D9+'ModelParams Lw'!I$10*'Sound Power'!$E9^'ModelParams Lw'!I$14+'ModelParams Lw'!I$11*LN('Sound Power'!M9)+'ModelParams Lw'!I$12*'Sound Power'!$D9*'Sound Power'!$E9+'ModelParams Lw'!I$13*'Sound Power'!$D9*LN('Sound Power'!M9))&lt;0,"",('ModelParams Lw'!I$4*LN('Sound Power'!M9)/(1+EXP(-('Sound Power'!$D9*1000+'ModelParams Lw'!I$6)/'ModelParams Lw'!I$7))+'ModelParams Lw'!I$5)*LN('Sound Power'!$B9)-('ModelParams Lw'!I$8+'ModelParams Lw'!I$9*$D9+'ModelParams Lw'!I$10*'Sound Power'!$E9^'ModelParams Lw'!I$14+'ModelParams Lw'!I$11*LN('Sound Power'!M9)+'ModelParams Lw'!I$12*'Sound Power'!$D9*'Sound Power'!$E9+'ModelParams Lw'!I$13*'Sound Power'!$D9*LN('Sound Power'!M9)))</f>
        <v>11.413134010540659</v>
      </c>
      <c r="V9" s="17">
        <f>IF(ISERR(10*LOG10(IF(N9="",0,POWER(10,((N9+'ModelParams Lw'!$O$4)/10))) +IF(O9="",0,POWER(10,((O9+'ModelParams Lw'!$P$4)/10))) +IF(P9="",0,POWER(10,((P9+'ModelParams Lw'!$Q$4)/10))) +IF(Q9="",0,POWER(10,((Q9+'ModelParams Lw'!$R$4)/10))) +IF(R9="",0,POWER(10,((R9+'ModelParams Lw'!$S$4)/10))) +IF(S9="",0,POWER(10,((S9+'ModelParams Lw'!$T$4)/10))) +IF(T9="",0,POWER(10,((T9+'ModelParams Lw'!$U$4)/10)))+IF(U9="",0,POWER(10,((U9+'ModelParams Lw'!$V$4)/10))))),0,10*LOG10(IF(N9="",0,POWER(10,((N9+'ModelParams Lw'!$O$4)/10))) +IF(O9="",0,POWER(10,((O9+'ModelParams Lw'!$P$4)/10))) +IF(P9="",0,POWER(10,((P9+'ModelParams Lw'!$Q$4)/10))) +IF(Q9="",0,POWER(10,((Q9+'ModelParams Lw'!$R$4)/10))) +IF(R9="",0,POWER(10,((R9+'ModelParams Lw'!$S$4)/10))) +IF(S9="",0,POWER(10,((S9+'ModelParams Lw'!$T$4)/10))) +IF(T9="",0,POWER(10,((T9+'ModelParams Lw'!$U$4)/10)))+IF(U9="",0,POWER(10,((U9+'ModelParams Lw'!$V$4)/10)))))</f>
        <v>41.950340168938226</v>
      </c>
      <c r="W9" s="17">
        <f t="shared" si="1"/>
        <v>37.108372734580627</v>
      </c>
      <c r="X9" s="17">
        <f>IF(N9="","",(N9-'ModelParams Lw'!O$10)/'ModelParams Lw'!O$11)</f>
        <v>32.979693210213007</v>
      </c>
      <c r="Y9" s="17">
        <f>IF(O9="","",(O9-'ModelParams Lw'!P$10)/'ModelParams Lw'!P$11)</f>
        <v>31.24817545321428</v>
      </c>
      <c r="Z9" s="17">
        <f>IF(P9="","",(P9-'ModelParams Lw'!Q$10)/'ModelParams Lw'!Q$11)</f>
        <v>32.338456251577867</v>
      </c>
      <c r="AA9" s="17">
        <f>IF(Q9="","",(Q9-'ModelParams Lw'!R$10)/'ModelParams Lw'!R$11)</f>
        <v>37.108372734580627</v>
      </c>
      <c r="AB9" s="17">
        <f>IF(R9="","",(R9-'ModelParams Lw'!S$10)/'ModelParams Lw'!S$11)</f>
        <v>32.184999870553582</v>
      </c>
      <c r="AC9" s="17">
        <f>IF(S9="","",(S9-'ModelParams Lw'!T$10)/'ModelParams Lw'!T$11)</f>
        <v>26.939231251711433</v>
      </c>
      <c r="AD9" s="17">
        <f>IF(T9="","",(T9-'ModelParams Lw'!U$10)/'ModelParams Lw'!U$11)</f>
        <v>21.128964643373248</v>
      </c>
      <c r="AE9" s="17">
        <f>IF(U9="","",(U9-'ModelParams Lw'!V$10)/'ModelParams Lw'!V$11)</f>
        <v>18.84770292285501</v>
      </c>
    </row>
    <row r="10" spans="1:31" x14ac:dyDescent="0.2">
      <c r="A10" s="5">
        <f>Calcul!$C$8</f>
        <v>1500</v>
      </c>
      <c r="B10" s="5">
        <f t="shared" si="0"/>
        <v>1500</v>
      </c>
      <c r="C10" s="17">
        <f>'dPs vs Alfa'!H8</f>
        <v>75.231421588406889</v>
      </c>
      <c r="D10" s="5">
        <f>Calcul!$C$6/1000</f>
        <v>1</v>
      </c>
      <c r="E10" s="5">
        <f>Calcul!$C$7/1000</f>
        <v>0.7</v>
      </c>
      <c r="F10" s="15">
        <f>DEGREES(ACOS(1-(1/'ModelParams Lw'!B$15*SQRT(0.5*1.2/'Sound Power'!$C10)*('Sound Power'!$B10/3600)/('Sound Power'!$D10)/('Sound Power'!$E10))))</f>
        <v>4.8374074525006756E-2</v>
      </c>
      <c r="G10" s="15">
        <f>DEGREES(ACOS(1-(1/'ModelParams Lw'!C$15*SQRT(0.5*1.2/'Sound Power'!$C10)*('Sound Power'!$B10/3600)/('Sound Power'!$D10)/('Sound Power'!$E10))))</f>
        <v>9.3706051209314092E-2</v>
      </c>
      <c r="H10" s="15">
        <f>DEGREES(ACOS(1-(1/'ModelParams Lw'!D$15*SQRT(0.5*1.2/'Sound Power'!$C10)*('Sound Power'!$B10/3600)/('Sound Power'!$D10)/('Sound Power'!$E10))))</f>
        <v>0.10901342752513128</v>
      </c>
      <c r="I10" s="15">
        <f>DEGREES(ACOS(1-(1/'ModelParams Lw'!E$15*SQRT(0.5*1.2/'Sound Power'!$C10)*('Sound Power'!$B10/3600)/('Sound Power'!$D10)/('Sound Power'!$E10))))</f>
        <v>8.6346949230449652E-2</v>
      </c>
      <c r="J10" s="15">
        <f>DEGREES(ACOS(1-(1/'ModelParams Lw'!F$15*SQRT(0.5*1.2/'Sound Power'!$C10)*('Sound Power'!$B10/3600)/('Sound Power'!$D10)/('Sound Power'!$E10))))</f>
        <v>5.8103966512123455E-2</v>
      </c>
      <c r="K10" s="15">
        <f>DEGREES(ACOS(1-(1/'ModelParams Lw'!G$15*SQRT(0.5*1.2/'Sound Power'!$C10)*('Sound Power'!$B10/3600)/('Sound Power'!$D10)/('Sound Power'!$E10))))</f>
        <v>4.7862104254565746E-2</v>
      </c>
      <c r="L10" s="15">
        <f>DEGREES(ACOS(1-(1/'ModelParams Lw'!H$15*SQRT(0.5*1.2/'Sound Power'!$C10)*('Sound Power'!$B10/3600)/('Sound Power'!$D10)/('Sound Power'!$E10))))</f>
        <v>4.3179881485855096E-2</v>
      </c>
      <c r="M10" s="15">
        <f>DEGREES(ACOS(1-(1/'ModelParams Lw'!I$15*SQRT(0.5*1.2/'Sound Power'!$C10)*('Sound Power'!$B10/3600)/('Sound Power'!$D10)/('Sound Power'!$E10))))</f>
        <v>6.2802807082105533E-2</v>
      </c>
      <c r="N10" s="17">
        <f>IF(('ModelParams Lw'!B$4*LN('Sound Power'!F10)/(1+EXP(-('Sound Power'!$D10*1000+'ModelParams Lw'!B$6)/'ModelParams Lw'!B$7))+'ModelParams Lw'!B$5)*LN('Sound Power'!$B10)-('ModelParams Lw'!B$8+'ModelParams Lw'!B$9*$D10+'ModelParams Lw'!B$10*'Sound Power'!$E10^'ModelParams Lw'!B$14+'ModelParams Lw'!B$11*LN('Sound Power'!F10)+'ModelParams Lw'!B$12*'Sound Power'!$D10*'Sound Power'!$E10+'ModelParams Lw'!B$13*'Sound Power'!$D10*LN('Sound Power'!F10))&lt;0,"",('ModelParams Lw'!B$4*LN('Sound Power'!F10)/(1+EXP(-('Sound Power'!$D10*1000+'ModelParams Lw'!B$6)/'ModelParams Lw'!B$7))+'ModelParams Lw'!B$5)*LN('Sound Power'!$B10)-('ModelParams Lw'!B$8+'ModelParams Lw'!B$9*$D10+'ModelParams Lw'!B$10*'Sound Power'!$E10^'ModelParams Lw'!B$14+'ModelParams Lw'!B$11*LN('Sound Power'!F10)+'ModelParams Lw'!B$12*'Sound Power'!$D10*'Sound Power'!$E10+'ModelParams Lw'!B$13*'Sound Power'!$D10*LN('Sound Power'!F10)))</f>
        <v>68.01380721955573</v>
      </c>
      <c r="O10" s="17">
        <f>IF(('ModelParams Lw'!C$4*LN('Sound Power'!G10)/(1+EXP(-('Sound Power'!$D10*1000+'ModelParams Lw'!C$6)/'ModelParams Lw'!C$7))+'ModelParams Lw'!C$5)*LN('Sound Power'!$B10)-('ModelParams Lw'!C$8+'ModelParams Lw'!C$9*$D10+'ModelParams Lw'!C$10*'Sound Power'!$E10^'ModelParams Lw'!C$14+'ModelParams Lw'!C$11*LN('Sound Power'!G10)+'ModelParams Lw'!C$12*'Sound Power'!$D10*'Sound Power'!$E10+'ModelParams Lw'!C$13*'Sound Power'!$D10*LN('Sound Power'!G10))&lt;0,"",('ModelParams Lw'!C$4*LN('Sound Power'!G10)/(1+EXP(-('Sound Power'!$D10*1000+'ModelParams Lw'!C$6)/'ModelParams Lw'!C$7))+'ModelParams Lw'!C$5)*LN('Sound Power'!$B10)-('ModelParams Lw'!C$8+'ModelParams Lw'!C$9*$D10+'ModelParams Lw'!C$10*'Sound Power'!$E10^'ModelParams Lw'!C$14+'ModelParams Lw'!C$11*LN('Sound Power'!G10)+'ModelParams Lw'!C$12*'Sound Power'!$D10*'Sound Power'!$E10+'ModelParams Lw'!C$13*'Sound Power'!$D10*LN('Sound Power'!G10)))</f>
        <v>56.834710795691748</v>
      </c>
      <c r="P10" s="17">
        <f>IF(('ModelParams Lw'!D$4*LN('Sound Power'!H10)/(1+EXP(-('Sound Power'!$D10*1000+'ModelParams Lw'!D$6)/'ModelParams Lw'!D$7))+'ModelParams Lw'!D$5)*LN('Sound Power'!$B10)-('ModelParams Lw'!D$8+'ModelParams Lw'!D$9*$D10+'ModelParams Lw'!D$10*'Sound Power'!$E10^'ModelParams Lw'!D$14+'ModelParams Lw'!D$11*LN('Sound Power'!H10)+'ModelParams Lw'!D$12*'Sound Power'!$D10*'Sound Power'!$E10+'ModelParams Lw'!D$13*'Sound Power'!$D10*LN('Sound Power'!H10))&lt;0,"",('ModelParams Lw'!D$4*LN('Sound Power'!H10)/(1+EXP(-('Sound Power'!$D10*1000+'ModelParams Lw'!D$6)/'ModelParams Lw'!D$7))+'ModelParams Lw'!D$5)*LN('Sound Power'!$B10)-('ModelParams Lw'!D$8+'ModelParams Lw'!D$9*$D10+'ModelParams Lw'!D$10*'Sound Power'!$E10^'ModelParams Lw'!D$14+'ModelParams Lw'!D$11*LN('Sound Power'!H10)+'ModelParams Lw'!D$12*'Sound Power'!$D10*'Sound Power'!$E10+'ModelParams Lw'!D$13*'Sound Power'!$D10*LN('Sound Power'!H10)))</f>
        <v>52.160570151733381</v>
      </c>
      <c r="Q10" s="17">
        <f>IF(('ModelParams Lw'!E$4*LN('Sound Power'!I10)/(1+EXP(-('Sound Power'!$D10*1000+'ModelParams Lw'!E$6)/'ModelParams Lw'!E$7))+'ModelParams Lw'!E$5)*LN('Sound Power'!$B10)-('ModelParams Lw'!E$8+'ModelParams Lw'!E$9*$D10+'ModelParams Lw'!E$10*'Sound Power'!$E10^'ModelParams Lw'!E$14+'ModelParams Lw'!E$11*LN('Sound Power'!I10)+'ModelParams Lw'!E$12*'Sound Power'!$D10*'Sound Power'!$E10+'ModelParams Lw'!E$13*'Sound Power'!$D10*LN('Sound Power'!I10))&lt;0,"",('ModelParams Lw'!E$4*LN('Sound Power'!I10)/(1+EXP(-('Sound Power'!$D10*1000+'ModelParams Lw'!E$6)/'ModelParams Lw'!E$7))+'ModelParams Lw'!E$5)*LN('Sound Power'!$B10)-('ModelParams Lw'!E$8+'ModelParams Lw'!E$9*$D10+'ModelParams Lw'!E$10*'Sound Power'!$E10^'ModelParams Lw'!E$14+'ModelParams Lw'!E$11*LN('Sound Power'!I10)+'ModelParams Lw'!E$12*'Sound Power'!$D10*'Sound Power'!$E10+'ModelParams Lw'!E$13*'Sound Power'!$D10*LN('Sound Power'!I10)))</f>
        <v>53.170386544823558</v>
      </c>
      <c r="R10" s="17">
        <f>IF(('ModelParams Lw'!F$4*LN('Sound Power'!J10)/(1+EXP(-('Sound Power'!$D10*1000+'ModelParams Lw'!F$6)/'ModelParams Lw'!F$7))+'ModelParams Lw'!F$5)*LN('Sound Power'!$B10)-('ModelParams Lw'!F$8+'ModelParams Lw'!F$9*$D10+'ModelParams Lw'!F$10*'Sound Power'!$E10^'ModelParams Lw'!F$14+'ModelParams Lw'!F$11*LN('Sound Power'!J10)+'ModelParams Lw'!F$12*'Sound Power'!$D10*'Sound Power'!$E10+'ModelParams Lw'!F$13*'Sound Power'!$D10*LN('Sound Power'!J10))&lt;0,"",('ModelParams Lw'!F$4*LN('Sound Power'!J10)/(1+EXP(-('Sound Power'!$D10*1000+'ModelParams Lw'!F$6)/'ModelParams Lw'!F$7))+'ModelParams Lw'!F$5)*LN('Sound Power'!$B10)-('ModelParams Lw'!F$8+'ModelParams Lw'!F$9*$D10+'ModelParams Lw'!F$10*'Sound Power'!$E10^'ModelParams Lw'!F$14+'ModelParams Lw'!F$11*LN('Sound Power'!J10)+'ModelParams Lw'!F$12*'Sound Power'!$D10*'Sound Power'!$E10+'ModelParams Lw'!F$13*'Sound Power'!$D10*LN('Sound Power'!J10)))</f>
        <v>46.258873679902422</v>
      </c>
      <c r="S10" s="17">
        <f>IF(('ModelParams Lw'!G$4*LN('Sound Power'!K10)/(1+EXP(-('Sound Power'!$D10*1000+'ModelParams Lw'!G$6)/'ModelParams Lw'!G$7))+'ModelParams Lw'!G$5)*LN('Sound Power'!$B10)-('ModelParams Lw'!G$8+'ModelParams Lw'!G$9*$D10+'ModelParams Lw'!G$10*'Sound Power'!$E10^'ModelParams Lw'!G$14+'ModelParams Lw'!G$11*LN('Sound Power'!K10)+'ModelParams Lw'!G$12*'Sound Power'!$D10*'Sound Power'!$E10+'ModelParams Lw'!G$13*'Sound Power'!$D10*LN('Sound Power'!K10))&lt;0,"",('ModelParams Lw'!G$4*LN('Sound Power'!K10)/(1+EXP(-('Sound Power'!$D10*1000+'ModelParams Lw'!G$6)/'ModelParams Lw'!G$7))+'ModelParams Lw'!G$5)*LN('Sound Power'!$B10)-('ModelParams Lw'!G$8+'ModelParams Lw'!G$9*$D10+'ModelParams Lw'!G$10*'Sound Power'!$E10^'ModelParams Lw'!G$14+'ModelParams Lw'!G$11*LN('Sound Power'!K10)+'ModelParams Lw'!G$12*'Sound Power'!$D10*'Sound Power'!$E10+'ModelParams Lw'!G$13*'Sound Power'!$D10*LN('Sound Power'!K10)))</f>
        <v>40.04856911486192</v>
      </c>
      <c r="T10" s="17">
        <f>IF(('ModelParams Lw'!H$4*LN('Sound Power'!L10)/(1+EXP(-('Sound Power'!$D10*1000+'ModelParams Lw'!H$6)/'ModelParams Lw'!H$7))+'ModelParams Lw'!H$5)*LN('Sound Power'!$B10)-('ModelParams Lw'!H$8+'ModelParams Lw'!H$9*$D10+'ModelParams Lw'!H$10*'Sound Power'!$E10^'ModelParams Lw'!H$14+'ModelParams Lw'!H$11*LN('Sound Power'!L10)+'ModelParams Lw'!H$12*'Sound Power'!$D10*'Sound Power'!$E10+'ModelParams Lw'!H$13*'Sound Power'!$D10*LN('Sound Power'!L10))&lt;0,"",('ModelParams Lw'!H$4*LN('Sound Power'!L10)/(1+EXP(-('Sound Power'!$D10*1000+'ModelParams Lw'!H$6)/'ModelParams Lw'!H$7))+'ModelParams Lw'!H$5)*LN('Sound Power'!$B10)-('ModelParams Lw'!H$8+'ModelParams Lw'!H$9*$D10+'ModelParams Lw'!H$10*'Sound Power'!$E10^'ModelParams Lw'!H$14+'ModelParams Lw'!H$11*LN('Sound Power'!L10)+'ModelParams Lw'!H$12*'Sound Power'!$D10*'Sound Power'!$E10+'ModelParams Lw'!H$13*'Sound Power'!$D10*LN('Sound Power'!L10)))</f>
        <v>33.222791775101001</v>
      </c>
      <c r="U10" s="17">
        <f>IF(('ModelParams Lw'!I$4*LN('Sound Power'!M10)/(1+EXP(-('Sound Power'!$D10*1000+'ModelParams Lw'!I$6)/'ModelParams Lw'!I$7))+'ModelParams Lw'!I$5)*LN('Sound Power'!$B10)-('ModelParams Lw'!I$8+'ModelParams Lw'!I$9*$D10+'ModelParams Lw'!I$10*'Sound Power'!$E10^'ModelParams Lw'!I$14+'ModelParams Lw'!I$11*LN('Sound Power'!M10)+'ModelParams Lw'!I$12*'Sound Power'!$D10*'Sound Power'!$E10+'ModelParams Lw'!I$13*'Sound Power'!$D10*LN('Sound Power'!M10))&lt;0,"",('ModelParams Lw'!I$4*LN('Sound Power'!M10)/(1+EXP(-('Sound Power'!$D10*1000+'ModelParams Lw'!I$6)/'ModelParams Lw'!I$7))+'ModelParams Lw'!I$5)*LN('Sound Power'!$B10)-('ModelParams Lw'!I$8+'ModelParams Lw'!I$9*$D10+'ModelParams Lw'!I$10*'Sound Power'!$E10^'ModelParams Lw'!I$14+'ModelParams Lw'!I$11*LN('Sound Power'!M10)+'ModelParams Lw'!I$12*'Sound Power'!$D10*'Sound Power'!$E10+'ModelParams Lw'!I$13*'Sound Power'!$D10*LN('Sound Power'!M10)))</f>
        <v>25.871230504868493</v>
      </c>
      <c r="V10" s="17">
        <f>IF(ISERR(10*LOG10(IF(N10="",0,POWER(10,((N10+'ModelParams Lw'!$O$4)/10))) +IF(O10="",0,POWER(10,((O10+'ModelParams Lw'!$P$4)/10))) +IF(P10="",0,POWER(10,((P10+'ModelParams Lw'!$Q$4)/10))) +IF(Q10="",0,POWER(10,((Q10+'ModelParams Lw'!$R$4)/10))) +IF(R10="",0,POWER(10,((R10+'ModelParams Lw'!$S$4)/10))) +IF(S10="",0,POWER(10,((S10+'ModelParams Lw'!$T$4)/10))) +IF(T10="",0,POWER(10,((T10+'ModelParams Lw'!$U$4)/10)))+IF(U10="",0,POWER(10,((U10+'ModelParams Lw'!$V$4)/10))))),0,10*LOG10(IF(N10="",0,POWER(10,((N10+'ModelParams Lw'!$O$4)/10))) +IF(O10="",0,POWER(10,((O10+'ModelParams Lw'!$P$4)/10))) +IF(P10="",0,POWER(10,((P10+'ModelParams Lw'!$Q$4)/10))) +IF(Q10="",0,POWER(10,((Q10+'ModelParams Lw'!$R$4)/10))) +IF(R10="",0,POWER(10,((R10+'ModelParams Lw'!$S$4)/10))) +IF(S10="",0,POWER(10,((S10+'ModelParams Lw'!$T$4)/10))) +IF(T10="",0,POWER(10,((T10+'ModelParams Lw'!$U$4)/10)))+IF(U10="",0,POWER(10,((U10+'ModelParams Lw'!$V$4)/10)))))</f>
        <v>53.171854417704232</v>
      </c>
      <c r="W10" s="17">
        <f t="shared" si="1"/>
        <v>49.661587828360943</v>
      </c>
      <c r="X10" s="17">
        <f>IF(N10="","",(N10-'ModelParams Lw'!O$10)/'ModelParams Lw'!O$11)</f>
        <v>41.156717999437632</v>
      </c>
      <c r="Y10" s="17">
        <f>IF(O10="","",(O10-'ModelParams Lw'!P$10)/'ModelParams Lw'!P$11)</f>
        <v>40.039897466312354</v>
      </c>
      <c r="Z10" s="17">
        <f>IF(P10="","",(P10-'ModelParams Lw'!Q$10)/'ModelParams Lw'!Q$11)</f>
        <v>43.183408765304712</v>
      </c>
      <c r="AA10" s="17">
        <f>IF(Q10="","",(Q10-'ModelParams Lw'!R$10)/'ModelParams Lw'!R$11)</f>
        <v>49.661587828360943</v>
      </c>
      <c r="AB10" s="17">
        <f>IF(R10="","",(R10-'ModelParams Lw'!S$10)/'ModelParams Lw'!S$11)</f>
        <v>46.258873679902422</v>
      </c>
      <c r="AC10" s="17">
        <f>IF(S10="","",(S10-'ModelParams Lw'!T$10)/'ModelParams Lw'!T$11)</f>
        <v>42.904994201834405</v>
      </c>
      <c r="AD10" s="17">
        <f>IF(T10="","",(T10-'ModelParams Lw'!U$10)/'ModelParams Lw'!U$11)</f>
        <v>38.363699292781469</v>
      </c>
      <c r="AE10" s="17">
        <f>IF(U10="","",(U10-'ModelParams Lw'!V$10)/'ModelParams Lw'!V$11)</f>
        <v>32.884689810551933</v>
      </c>
    </row>
    <row r="11" spans="1:31" x14ac:dyDescent="0.2">
      <c r="A11" s="5">
        <f>Calcul!$C$8</f>
        <v>1500</v>
      </c>
      <c r="B11" s="5">
        <f t="shared" si="0"/>
        <v>1500</v>
      </c>
      <c r="C11" s="17">
        <f>'dPs vs Alfa'!I8</f>
        <v>276.99926515394861</v>
      </c>
      <c r="D11" s="5">
        <f>Calcul!$C$6/1000</f>
        <v>1</v>
      </c>
      <c r="E11" s="5">
        <f>Calcul!$C$7/1000</f>
        <v>0.7</v>
      </c>
      <c r="F11" s="15">
        <f>DEGREES(ACOS(1-(1/'ModelParams Lw'!B$15*SQRT(0.5*1.2/'Sound Power'!$C11)*('Sound Power'!$B11/3600)/('Sound Power'!$D11)/('Sound Power'!$E11))))</f>
        <v>3.4921494866971901E-2</v>
      </c>
      <c r="G11" s="15">
        <f>DEGREES(ACOS(1-(1/'ModelParams Lw'!C$15*SQRT(0.5*1.2/'Sound Power'!$C11)*('Sound Power'!$B11/3600)/('Sound Power'!$D11)/('Sound Power'!$E11))))</f>
        <v>6.7646880903485654E-2</v>
      </c>
      <c r="H11" s="15">
        <f>DEGREES(ACOS(1-(1/'ModelParams Lw'!D$15*SQRT(0.5*1.2/'Sound Power'!$C11)*('Sound Power'!$B11/3600)/('Sound Power'!$D11)/('Sound Power'!$E11))))</f>
        <v>7.8697353201890502E-2</v>
      </c>
      <c r="I11" s="15">
        <f>DEGREES(ACOS(1-(1/'ModelParams Lw'!E$15*SQRT(0.5*1.2/'Sound Power'!$C11)*('Sound Power'!$B11/3600)/('Sound Power'!$D11)/('Sound Power'!$E11))))</f>
        <v>6.2334307790890768E-2</v>
      </c>
      <c r="J11" s="15">
        <f>DEGREES(ACOS(1-(1/'ModelParams Lw'!F$15*SQRT(0.5*1.2/'Sound Power'!$C11)*('Sound Power'!$B11/3600)/('Sound Power'!$D11)/('Sound Power'!$E11))))</f>
        <v>4.194555400889035E-2</v>
      </c>
      <c r="K11" s="15">
        <f>DEGREES(ACOS(1-(1/'ModelParams Lw'!G$15*SQRT(0.5*1.2/'Sound Power'!$C11)*('Sound Power'!$B11/3600)/('Sound Power'!$D11)/('Sound Power'!$E11))))</f>
        <v>3.4551900891404669E-2</v>
      </c>
      <c r="L11" s="15">
        <f>DEGREES(ACOS(1-(1/'ModelParams Lw'!H$15*SQRT(0.5*1.2/'Sound Power'!$C11)*('Sound Power'!$B11/3600)/('Sound Power'!$D11)/('Sound Power'!$E11))))</f>
        <v>3.1171780109185601E-2</v>
      </c>
      <c r="M11" s="15">
        <f>DEGREES(ACOS(1-(1/'ModelParams Lw'!I$15*SQRT(0.5*1.2/'Sound Power'!$C11)*('Sound Power'!$B11/3600)/('Sound Power'!$D11)/('Sound Power'!$E11))))</f>
        <v>4.5337671164752028E-2</v>
      </c>
      <c r="N11" s="17">
        <f>IF(('ModelParams Lw'!B$4*LN('Sound Power'!F11)/(1+EXP(-('Sound Power'!$D11*1000+'ModelParams Lw'!B$6)/'ModelParams Lw'!B$7))+'ModelParams Lw'!B$5)*LN('Sound Power'!$B11)-('ModelParams Lw'!B$8+'ModelParams Lw'!B$9*$D11+'ModelParams Lw'!B$10*'Sound Power'!$E11^'ModelParams Lw'!B$14+'ModelParams Lw'!B$11*LN('Sound Power'!F11)+'ModelParams Lw'!B$12*'Sound Power'!$D11*'Sound Power'!$E11+'ModelParams Lw'!B$13*'Sound Power'!$D11*LN('Sound Power'!F11))&lt;0,"",('ModelParams Lw'!B$4*LN('Sound Power'!F11)/(1+EXP(-('Sound Power'!$D11*1000+'ModelParams Lw'!B$6)/'ModelParams Lw'!B$7))+'ModelParams Lw'!B$5)*LN('Sound Power'!$B11)-('ModelParams Lw'!B$8+'ModelParams Lw'!B$9*$D11+'ModelParams Lw'!B$10*'Sound Power'!$E11^'ModelParams Lw'!B$14+'ModelParams Lw'!B$11*LN('Sound Power'!F11)+'ModelParams Lw'!B$12*'Sound Power'!$D11*'Sound Power'!$E11+'ModelParams Lw'!B$13*'Sound Power'!$D11*LN('Sound Power'!F11)))</f>
        <v>74.473656543407273</v>
      </c>
      <c r="O11" s="17">
        <f>IF(('ModelParams Lw'!C$4*LN('Sound Power'!G11)/(1+EXP(-('Sound Power'!$D11*1000+'ModelParams Lw'!C$6)/'ModelParams Lw'!C$7))+'ModelParams Lw'!C$5)*LN('Sound Power'!$B11)-('ModelParams Lw'!C$8+'ModelParams Lw'!C$9*$D11+'ModelParams Lw'!C$10*'Sound Power'!$E11^'ModelParams Lw'!C$14+'ModelParams Lw'!C$11*LN('Sound Power'!G11)+'ModelParams Lw'!C$12*'Sound Power'!$D11*'Sound Power'!$E11+'ModelParams Lw'!C$13*'Sound Power'!$D11*LN('Sound Power'!G11))&lt;0,"",('ModelParams Lw'!C$4*LN('Sound Power'!G11)/(1+EXP(-('Sound Power'!$D11*1000+'ModelParams Lw'!C$6)/'ModelParams Lw'!C$7))+'ModelParams Lw'!C$5)*LN('Sound Power'!$B11)-('ModelParams Lw'!C$8+'ModelParams Lw'!C$9*$D11+'ModelParams Lw'!C$10*'Sound Power'!$E11^'ModelParams Lw'!C$14+'ModelParams Lw'!C$11*LN('Sound Power'!G11)+'ModelParams Lw'!C$12*'Sound Power'!$D11*'Sound Power'!$E11+'ModelParams Lw'!C$13*'Sound Power'!$D11*LN('Sound Power'!G11)))</f>
        <v>64.483507794469347</v>
      </c>
      <c r="P11" s="17">
        <f>IF(('ModelParams Lw'!D$4*LN('Sound Power'!H11)/(1+EXP(-('Sound Power'!$D11*1000+'ModelParams Lw'!D$6)/'ModelParams Lw'!D$7))+'ModelParams Lw'!D$5)*LN('Sound Power'!$B11)-('ModelParams Lw'!D$8+'ModelParams Lw'!D$9*$D11+'ModelParams Lw'!D$10*'Sound Power'!$E11^'ModelParams Lw'!D$14+'ModelParams Lw'!D$11*LN('Sound Power'!H11)+'ModelParams Lw'!D$12*'Sound Power'!$D11*'Sound Power'!$E11+'ModelParams Lw'!D$13*'Sound Power'!$D11*LN('Sound Power'!H11))&lt;0,"",('ModelParams Lw'!D$4*LN('Sound Power'!H11)/(1+EXP(-('Sound Power'!$D11*1000+'ModelParams Lw'!D$6)/'ModelParams Lw'!D$7))+'ModelParams Lw'!D$5)*LN('Sound Power'!$B11)-('ModelParams Lw'!D$8+'ModelParams Lw'!D$9*$D11+'ModelParams Lw'!D$10*'Sound Power'!$E11^'ModelParams Lw'!D$14+'ModelParams Lw'!D$11*LN('Sound Power'!H11)+'ModelParams Lw'!D$12*'Sound Power'!$D11*'Sound Power'!$E11+'ModelParams Lw'!D$13*'Sound Power'!$D11*LN('Sound Power'!H11)))</f>
        <v>62.246373936322456</v>
      </c>
      <c r="Q11" s="17">
        <f>IF(('ModelParams Lw'!E$4*LN('Sound Power'!I11)/(1+EXP(-('Sound Power'!$D11*1000+'ModelParams Lw'!E$6)/'ModelParams Lw'!E$7))+'ModelParams Lw'!E$5)*LN('Sound Power'!$B11)-('ModelParams Lw'!E$8+'ModelParams Lw'!E$9*$D11+'ModelParams Lw'!E$10*'Sound Power'!$E11^'ModelParams Lw'!E$14+'ModelParams Lw'!E$11*LN('Sound Power'!I11)+'ModelParams Lw'!E$12*'Sound Power'!$D11*'Sound Power'!$E11+'ModelParams Lw'!E$13*'Sound Power'!$D11*LN('Sound Power'!I11))&lt;0,"",('ModelParams Lw'!E$4*LN('Sound Power'!I11)/(1+EXP(-('Sound Power'!$D11*1000+'ModelParams Lw'!E$6)/'ModelParams Lw'!E$7))+'ModelParams Lw'!E$5)*LN('Sound Power'!$B11)-('ModelParams Lw'!E$8+'ModelParams Lw'!E$9*$D11+'ModelParams Lw'!E$10*'Sound Power'!$E11^'ModelParams Lw'!E$14+'ModelParams Lw'!E$11*LN('Sound Power'!I11)+'ModelParams Lw'!E$12*'Sound Power'!$D11*'Sound Power'!$E11+'ModelParams Lw'!E$13*'Sound Power'!$D11*LN('Sound Power'!I11)))</f>
        <v>65.397216482380244</v>
      </c>
      <c r="R11" s="17">
        <f>IF(('ModelParams Lw'!F$4*LN('Sound Power'!J11)/(1+EXP(-('Sound Power'!$D11*1000+'ModelParams Lw'!F$6)/'ModelParams Lw'!F$7))+'ModelParams Lw'!F$5)*LN('Sound Power'!$B11)-('ModelParams Lw'!F$8+'ModelParams Lw'!F$9*$D11+'ModelParams Lw'!F$10*'Sound Power'!$E11^'ModelParams Lw'!F$14+'ModelParams Lw'!F$11*LN('Sound Power'!J11)+'ModelParams Lw'!F$12*'Sound Power'!$D11*'Sound Power'!$E11+'ModelParams Lw'!F$13*'Sound Power'!$D11*LN('Sound Power'!J11))&lt;0,"",('ModelParams Lw'!F$4*LN('Sound Power'!J11)/(1+EXP(-('Sound Power'!$D11*1000+'ModelParams Lw'!F$6)/'ModelParams Lw'!F$7))+'ModelParams Lw'!F$5)*LN('Sound Power'!$B11)-('ModelParams Lw'!F$8+'ModelParams Lw'!F$9*$D11+'ModelParams Lw'!F$10*'Sound Power'!$E11^'ModelParams Lw'!F$14+'ModelParams Lw'!F$11*LN('Sound Power'!J11)+'ModelParams Lw'!F$12*'Sound Power'!$D11*'Sound Power'!$E11+'ModelParams Lw'!F$13*'Sound Power'!$D11*LN('Sound Power'!J11)))</f>
        <v>60.332746670032279</v>
      </c>
      <c r="S11" s="17">
        <f>IF(('ModelParams Lw'!G$4*LN('Sound Power'!K11)/(1+EXP(-('Sound Power'!$D11*1000+'ModelParams Lw'!G$6)/'ModelParams Lw'!G$7))+'ModelParams Lw'!G$5)*LN('Sound Power'!$B11)-('ModelParams Lw'!G$8+'ModelParams Lw'!G$9*$D11+'ModelParams Lw'!G$10*'Sound Power'!$E11^'ModelParams Lw'!G$14+'ModelParams Lw'!G$11*LN('Sound Power'!K11)+'ModelParams Lw'!G$12*'Sound Power'!$D11*'Sound Power'!$E11+'ModelParams Lw'!G$13*'Sound Power'!$D11*LN('Sound Power'!K11))&lt;0,"",('ModelParams Lw'!G$4*LN('Sound Power'!K11)/(1+EXP(-('Sound Power'!$D11*1000+'ModelParams Lw'!G$6)/'ModelParams Lw'!G$7))+'ModelParams Lw'!G$5)*LN('Sound Power'!$B11)-('ModelParams Lw'!G$8+'ModelParams Lw'!G$9*$D11+'ModelParams Lw'!G$10*'Sound Power'!$E11^'ModelParams Lw'!G$14+'ModelParams Lw'!G$11*LN('Sound Power'!K11)+'ModelParams Lw'!G$12*'Sound Power'!$D11*'Sound Power'!$E11+'ModelParams Lw'!G$13*'Sound Power'!$D11*LN('Sound Power'!K11)))</f>
        <v>56.253817864425201</v>
      </c>
      <c r="T11" s="17">
        <f>IF(('ModelParams Lw'!H$4*LN('Sound Power'!L11)/(1+EXP(-('Sound Power'!$D11*1000+'ModelParams Lw'!H$6)/'ModelParams Lw'!H$7))+'ModelParams Lw'!H$5)*LN('Sound Power'!$B11)-('ModelParams Lw'!H$8+'ModelParams Lw'!H$9*$D11+'ModelParams Lw'!H$10*'Sound Power'!$E11^'ModelParams Lw'!H$14+'ModelParams Lw'!H$11*LN('Sound Power'!L11)+'ModelParams Lw'!H$12*'Sound Power'!$D11*'Sound Power'!$E11+'ModelParams Lw'!H$13*'Sound Power'!$D11*LN('Sound Power'!L11))&lt;0,"",('ModelParams Lw'!H$4*LN('Sound Power'!L11)/(1+EXP(-('Sound Power'!$D11*1000+'ModelParams Lw'!H$6)/'ModelParams Lw'!H$7))+'ModelParams Lw'!H$5)*LN('Sound Power'!$B11)-('ModelParams Lw'!H$8+'ModelParams Lw'!H$9*$D11+'ModelParams Lw'!H$10*'Sound Power'!$E11^'ModelParams Lw'!H$14+'ModelParams Lw'!H$11*LN('Sound Power'!L11)+'ModelParams Lw'!H$12*'Sound Power'!$D11*'Sound Power'!$E11+'ModelParams Lw'!H$13*'Sound Power'!$D11*LN('Sound Power'!L11)))</f>
        <v>50.888394222658945</v>
      </c>
      <c r="U11" s="17">
        <f>IF(('ModelParams Lw'!I$4*LN('Sound Power'!M11)/(1+EXP(-('Sound Power'!$D11*1000+'ModelParams Lw'!I$6)/'ModelParams Lw'!I$7))+'ModelParams Lw'!I$5)*LN('Sound Power'!$B11)-('ModelParams Lw'!I$8+'ModelParams Lw'!I$9*$D11+'ModelParams Lw'!I$10*'Sound Power'!$E11^'ModelParams Lw'!I$14+'ModelParams Lw'!I$11*LN('Sound Power'!M11)+'ModelParams Lw'!I$12*'Sound Power'!$D11*'Sound Power'!$E11+'ModelParams Lw'!I$13*'Sound Power'!$D11*LN('Sound Power'!M11))&lt;0,"",('ModelParams Lw'!I$4*LN('Sound Power'!M11)/(1+EXP(-('Sound Power'!$D11*1000+'ModelParams Lw'!I$6)/'ModelParams Lw'!I$7))+'ModelParams Lw'!I$5)*LN('Sound Power'!$B11)-('ModelParams Lw'!I$8+'ModelParams Lw'!I$9*$D11+'ModelParams Lw'!I$10*'Sound Power'!$E11^'ModelParams Lw'!I$14+'ModelParams Lw'!I$11*LN('Sound Power'!M11)+'ModelParams Lw'!I$12*'Sound Power'!$D11*'Sound Power'!$E11+'ModelParams Lw'!I$13*'Sound Power'!$D11*LN('Sound Power'!M11)))</f>
        <v>40.329326021949115</v>
      </c>
      <c r="V11" s="17">
        <f>IF(ISERR(10*LOG10(IF(N11="",0,POWER(10,((N11+'ModelParams Lw'!$O$4)/10))) +IF(O11="",0,POWER(10,((O11+'ModelParams Lw'!$P$4)/10))) +IF(P11="",0,POWER(10,((P11+'ModelParams Lw'!$Q$4)/10))) +IF(Q11="",0,POWER(10,((Q11+'ModelParams Lw'!$R$4)/10))) +IF(R11="",0,POWER(10,((R11+'ModelParams Lw'!$S$4)/10))) +IF(S11="",0,POWER(10,((S11+'ModelParams Lw'!$T$4)/10))) +IF(T11="",0,POWER(10,((T11+'ModelParams Lw'!$U$4)/10)))+IF(U11="",0,POWER(10,((U11+'ModelParams Lw'!$V$4)/10))))),0,10*LOG10(IF(N11="",0,POWER(10,((N11+'ModelParams Lw'!$O$4)/10))) +IF(O11="",0,POWER(10,((O11+'ModelParams Lw'!$P$4)/10))) +IF(P11="",0,POWER(10,((P11+'ModelParams Lw'!$Q$4)/10))) +IF(Q11="",0,POWER(10,((Q11+'ModelParams Lw'!$R$4)/10))) +IF(R11="",0,POWER(10,((R11+'ModelParams Lw'!$S$4)/10))) +IF(S11="",0,POWER(10,((S11+'ModelParams Lw'!$T$4)/10))) +IF(T11="",0,POWER(10,((T11+'ModelParams Lw'!$U$4)/10)))+IF(U11="",0,POWER(10,((U11+'ModelParams Lw'!$V$4)/10)))))</f>
        <v>65.826376540893804</v>
      </c>
      <c r="W11" s="17">
        <f t="shared" si="1"/>
        <v>62.214801316612167</v>
      </c>
      <c r="X11" s="17">
        <f>IF(N11="","",(N11-'ModelParams Lw'!O$10)/'ModelParams Lw'!O$11)</f>
        <v>49.333742460009205</v>
      </c>
      <c r="Y11" s="17">
        <f>IF(O11="","",(O11-'ModelParams Lw'!P$10)/'ModelParams Lw'!P$11)</f>
        <v>48.83161815456247</v>
      </c>
      <c r="Z11" s="17">
        <f>IF(P11="","",(P11-'ModelParams Lw'!Q$10)/'ModelParams Lw'!Q$11)</f>
        <v>54.028359071314469</v>
      </c>
      <c r="AA11" s="17">
        <f>IF(Q11="","",(Q11-'ModelParams Lw'!R$10)/'ModelParams Lw'!R$11)</f>
        <v>62.214801316612167</v>
      </c>
      <c r="AB11" s="17">
        <f>IF(R11="","",(R11-'ModelParams Lw'!S$10)/'ModelParams Lw'!S$11)</f>
        <v>60.332746670032279</v>
      </c>
      <c r="AC11" s="17">
        <f>IF(S11="","",(S11-'ModelParams Lw'!T$10)/'ModelParams Lw'!T$11)</f>
        <v>58.87075651667508</v>
      </c>
      <c r="AD11" s="17">
        <f>IF(T11="","",(T11-'ModelParams Lw'!U$10)/'ModelParams Lw'!U$11)</f>
        <v>55.59843338795995</v>
      </c>
      <c r="AE11" s="17">
        <f>IF(U11="","",(U11-'ModelParams Lw'!V$10)/'ModelParams Lw'!V$11)</f>
        <v>46.921675749465159</v>
      </c>
    </row>
    <row r="12" spans="1:31" x14ac:dyDescent="0.2">
      <c r="A12" s="5">
        <f>Calcul!$C$8</f>
        <v>1500</v>
      </c>
      <c r="B12" s="5">
        <f>A12*IF($A$3="[L/s]",3.6,IF($A$3="[m³/s]",1/3600,1))</f>
        <v>1500</v>
      </c>
      <c r="C12" s="17">
        <f>'dPs vs Alfa'!J8</f>
        <v>1019.9008775297618</v>
      </c>
      <c r="D12" s="5">
        <f>Calcul!$C$6/1000</f>
        <v>1</v>
      </c>
      <c r="E12" s="5">
        <f>Calcul!$C$7/1000</f>
        <v>0.7</v>
      </c>
      <c r="F12" s="15">
        <f>DEGREES(ACOS(1-(1/'ModelParams Lw'!B$15*SQRT(0.5*1.2/'Sound Power'!$C12)*('Sound Power'!$B12/3600)/('Sound Power'!$D12)/('Sound Power'!$E12))))</f>
        <v>2.5210008132870994E-2</v>
      </c>
      <c r="G12" s="15">
        <f>DEGREES(ACOS(1-(1/'ModelParams Lw'!C$15*SQRT(0.5*1.2/'Sound Power'!$C12)*('Sound Power'!$B12/3600)/('Sound Power'!$D12)/('Sound Power'!$E12))))</f>
        <v>4.8834632915755745E-2</v>
      </c>
      <c r="H12" s="15">
        <f>DEGREES(ACOS(1-(1/'ModelParams Lw'!D$15*SQRT(0.5*1.2/'Sound Power'!$C12)*('Sound Power'!$B12/3600)/('Sound Power'!$D12)/('Sound Power'!$E12))))</f>
        <v>5.6812025415200418E-2</v>
      </c>
      <c r="I12" s="15">
        <f>DEGREES(ACOS(1-(1/'ModelParams Lw'!E$15*SQRT(0.5*1.2/'Sound Power'!$C12)*('Sound Power'!$B12/3600)/('Sound Power'!$D12)/('Sound Power'!$E12))))</f>
        <v>4.4999459121839849E-2</v>
      </c>
      <c r="J12" s="15">
        <f>DEGREES(ACOS(1-(1/'ModelParams Lw'!F$15*SQRT(0.5*1.2/'Sound Power'!$C12)*('Sound Power'!$B12/3600)/('Sound Power'!$D12)/('Sound Power'!$E12))))</f>
        <v>3.0280712726909326E-2</v>
      </c>
      <c r="K12" s="15">
        <f>DEGREES(ACOS(1-(1/'ModelParams Lw'!G$15*SQRT(0.5*1.2/'Sound Power'!$C12)*('Sound Power'!$B12/3600)/('Sound Power'!$D12)/('Sound Power'!$E12))))</f>
        <v>2.4943196329408668E-2</v>
      </c>
      <c r="L12" s="15">
        <f>DEGREES(ACOS(1-(1/'ModelParams Lw'!H$15*SQRT(0.5*1.2/'Sound Power'!$C12)*('Sound Power'!$B12/3600)/('Sound Power'!$D12)/('Sound Power'!$E12))))</f>
        <v>2.2503069647695099E-2</v>
      </c>
      <c r="M12" s="15">
        <f>DEGREES(ACOS(1-(1/'ModelParams Lw'!I$15*SQRT(0.5*1.2/'Sound Power'!$C12)*('Sound Power'!$B12/3600)/('Sound Power'!$D12)/('Sound Power'!$E12))))</f>
        <v>3.2729499609188306E-2</v>
      </c>
      <c r="N12" s="17">
        <f>IF(('ModelParams Lw'!B$4*LN('Sound Power'!F12)/(1+EXP(-('Sound Power'!$D12*1000+'ModelParams Lw'!B$6)/'ModelParams Lw'!B$7))+'ModelParams Lw'!B$5)*LN('Sound Power'!$B12)-('ModelParams Lw'!B$8+'ModelParams Lw'!B$9*$D12+'ModelParams Lw'!B$10*'Sound Power'!$E12^'ModelParams Lw'!B$14+'ModelParams Lw'!B$11*LN('Sound Power'!F12)+'ModelParams Lw'!B$12*'Sound Power'!$D12*'Sound Power'!$E12+'ModelParams Lw'!B$13*'Sound Power'!$D12*LN('Sound Power'!F12))&lt;0,"",('ModelParams Lw'!B$4*LN('Sound Power'!F12)/(1+EXP(-('Sound Power'!$D12*1000+'ModelParams Lw'!B$6)/'ModelParams Lw'!B$7))+'ModelParams Lw'!B$5)*LN('Sound Power'!$B12)-('ModelParams Lw'!B$8+'ModelParams Lw'!B$9*$D12+'ModelParams Lw'!B$10*'Sound Power'!$E12^'ModelParams Lw'!B$14+'ModelParams Lw'!B$11*LN('Sound Power'!F12)+'ModelParams Lw'!B$12*'Sound Power'!$D12*'Sound Power'!$E12+'ModelParams Lw'!B$13*'Sound Power'!$D12*LN('Sound Power'!F12)))</f>
        <v>80.933505729873048</v>
      </c>
      <c r="O12" s="17">
        <f>IF(('ModelParams Lw'!C$4*LN('Sound Power'!G12)/(1+EXP(-('Sound Power'!$D12*1000+'ModelParams Lw'!C$6)/'ModelParams Lw'!C$7))+'ModelParams Lw'!C$5)*LN('Sound Power'!$B12)-('ModelParams Lw'!C$8+'ModelParams Lw'!C$9*$D12+'ModelParams Lw'!C$10*'Sound Power'!$E12^'ModelParams Lw'!C$14+'ModelParams Lw'!C$11*LN('Sound Power'!G12)+'ModelParams Lw'!C$12*'Sound Power'!$D12*'Sound Power'!$E12+'ModelParams Lw'!C$13*'Sound Power'!$D12*LN('Sound Power'!G12))&lt;0,"",('ModelParams Lw'!C$4*LN('Sound Power'!G12)/(1+EXP(-('Sound Power'!$D12*1000+'ModelParams Lw'!C$6)/'ModelParams Lw'!C$7))+'ModelParams Lw'!C$5)*LN('Sound Power'!$B12)-('ModelParams Lw'!C$8+'ModelParams Lw'!C$9*$D12+'ModelParams Lw'!C$10*'Sound Power'!$E12^'ModelParams Lw'!C$14+'ModelParams Lw'!C$11*LN('Sound Power'!G12)+'ModelParams Lw'!C$12*'Sound Power'!$D12*'Sound Power'!$E12+'ModelParams Lw'!C$13*'Sound Power'!$D12*LN('Sound Power'!G12)))</f>
        <v>72.132304194025721</v>
      </c>
      <c r="P12" s="17">
        <f>IF(('ModelParams Lw'!D$4*LN('Sound Power'!H12)/(1+EXP(-('Sound Power'!$D12*1000+'ModelParams Lw'!D$6)/'ModelParams Lw'!D$7))+'ModelParams Lw'!D$5)*LN('Sound Power'!$B12)-('ModelParams Lw'!D$8+'ModelParams Lw'!D$9*$D12+'ModelParams Lw'!D$10*'Sound Power'!$E12^'ModelParams Lw'!D$14+'ModelParams Lw'!D$11*LN('Sound Power'!H12)+'ModelParams Lw'!D$12*'Sound Power'!$D12*'Sound Power'!$E12+'ModelParams Lw'!D$13*'Sound Power'!$D12*LN('Sound Power'!H12))&lt;0,"",('ModelParams Lw'!D$4*LN('Sound Power'!H12)/(1+EXP(-('Sound Power'!$D12*1000+'ModelParams Lw'!D$6)/'ModelParams Lw'!D$7))+'ModelParams Lw'!D$5)*LN('Sound Power'!$B12)-('ModelParams Lw'!D$8+'ModelParams Lw'!D$9*$D12+'ModelParams Lw'!D$10*'Sound Power'!$E12^'ModelParams Lw'!D$14+'ModelParams Lw'!D$11*LN('Sound Power'!H12)+'ModelParams Lw'!D$12*'Sound Power'!$D12*'Sound Power'!$E12+'ModelParams Lw'!D$13*'Sound Power'!$D12*LN('Sound Power'!H12)))</f>
        <v>72.33217665057245</v>
      </c>
      <c r="Q12" s="17">
        <f>IF(('ModelParams Lw'!E$4*LN('Sound Power'!I12)/(1+EXP(-('Sound Power'!$D12*1000+'ModelParams Lw'!E$6)/'ModelParams Lw'!E$7))+'ModelParams Lw'!E$5)*LN('Sound Power'!$B12)-('ModelParams Lw'!E$8+'ModelParams Lw'!E$9*$D12+'ModelParams Lw'!E$10*'Sound Power'!$E12^'ModelParams Lw'!E$14+'ModelParams Lw'!E$11*LN('Sound Power'!I12)+'ModelParams Lw'!E$12*'Sound Power'!$D12*'Sound Power'!$E12+'ModelParams Lw'!E$13*'Sound Power'!$D12*LN('Sound Power'!I12))&lt;0,"",('ModelParams Lw'!E$4*LN('Sound Power'!I12)/(1+EXP(-('Sound Power'!$D12*1000+'ModelParams Lw'!E$6)/'ModelParams Lw'!E$7))+'ModelParams Lw'!E$5)*LN('Sound Power'!$B12)-('ModelParams Lw'!E$8+'ModelParams Lw'!E$9*$D12+'ModelParams Lw'!E$10*'Sound Power'!$E12^'ModelParams Lw'!E$14+'ModelParams Lw'!E$11*LN('Sound Power'!I12)+'ModelParams Lw'!E$12*'Sound Power'!$D12*'Sound Power'!$E12+'ModelParams Lw'!E$13*'Sound Power'!$D12*LN('Sound Power'!I12)))</f>
        <v>77.624045604706154</v>
      </c>
      <c r="R12" s="17">
        <f>IF(('ModelParams Lw'!F$4*LN('Sound Power'!J12)/(1+EXP(-('Sound Power'!$D12*1000+'ModelParams Lw'!F$6)/'ModelParams Lw'!F$7))+'ModelParams Lw'!F$5)*LN('Sound Power'!$B12)-('ModelParams Lw'!F$8+'ModelParams Lw'!F$9*$D12+'ModelParams Lw'!F$10*'Sound Power'!$E12^'ModelParams Lw'!F$14+'ModelParams Lw'!F$11*LN('Sound Power'!J12)+'ModelParams Lw'!F$12*'Sound Power'!$D12*'Sound Power'!$E12+'ModelParams Lw'!F$13*'Sound Power'!$D12*LN('Sound Power'!J12))&lt;0,"",('ModelParams Lw'!F$4*LN('Sound Power'!J12)/(1+EXP(-('Sound Power'!$D12*1000+'ModelParams Lw'!F$6)/'ModelParams Lw'!F$7))+'ModelParams Lw'!F$5)*LN('Sound Power'!$B12)-('ModelParams Lw'!F$8+'ModelParams Lw'!F$9*$D12+'ModelParams Lw'!F$10*'Sound Power'!$E12^'ModelParams Lw'!F$14+'ModelParams Lw'!F$11*LN('Sound Power'!J12)+'ModelParams Lw'!F$12*'Sound Power'!$D12*'Sound Power'!$E12+'ModelParams Lw'!F$13*'Sound Power'!$D12*LN('Sound Power'!J12)))</f>
        <v>74.406619239543431</v>
      </c>
      <c r="S12" s="17">
        <f>IF(('ModelParams Lw'!G$4*LN('Sound Power'!K12)/(1+EXP(-('Sound Power'!$D12*1000+'ModelParams Lw'!G$6)/'ModelParams Lw'!G$7))+'ModelParams Lw'!G$5)*LN('Sound Power'!$B12)-('ModelParams Lw'!G$8+'ModelParams Lw'!G$9*$D12+'ModelParams Lw'!G$10*'Sound Power'!$E12^'ModelParams Lw'!G$14+'ModelParams Lw'!G$11*LN('Sound Power'!K12)+'ModelParams Lw'!G$12*'Sound Power'!$D12*'Sound Power'!$E12+'ModelParams Lw'!G$13*'Sound Power'!$D12*LN('Sound Power'!K12))&lt;0,"",('ModelParams Lw'!G$4*LN('Sound Power'!K12)/(1+EXP(-('Sound Power'!$D12*1000+'ModelParams Lw'!G$6)/'ModelParams Lw'!G$7))+'ModelParams Lw'!G$5)*LN('Sound Power'!$B12)-('ModelParams Lw'!G$8+'ModelParams Lw'!G$9*$D12+'ModelParams Lw'!G$10*'Sound Power'!$E12^'ModelParams Lw'!G$14+'ModelParams Lw'!G$11*LN('Sound Power'!K12)+'ModelParams Lw'!G$12*'Sound Power'!$D12*'Sound Power'!$E12+'ModelParams Lw'!G$13*'Sound Power'!$D12*LN('Sound Power'!K12)))</f>
        <v>72.459066282788655</v>
      </c>
      <c r="T12" s="17">
        <f>IF(('ModelParams Lw'!H$4*LN('Sound Power'!L12)/(1+EXP(-('Sound Power'!$D12*1000+'ModelParams Lw'!H$6)/'ModelParams Lw'!H$7))+'ModelParams Lw'!H$5)*LN('Sound Power'!$B12)-('ModelParams Lw'!H$8+'ModelParams Lw'!H$9*$D12+'ModelParams Lw'!H$10*'Sound Power'!$E12^'ModelParams Lw'!H$14+'ModelParams Lw'!H$11*LN('Sound Power'!L12)+'ModelParams Lw'!H$12*'Sound Power'!$D12*'Sound Power'!$E12+'ModelParams Lw'!H$13*'Sound Power'!$D12*LN('Sound Power'!L12))&lt;0,"",('ModelParams Lw'!H$4*LN('Sound Power'!L12)/(1+EXP(-('Sound Power'!$D12*1000+'ModelParams Lw'!H$6)/'ModelParams Lw'!H$7))+'ModelParams Lw'!H$5)*LN('Sound Power'!$B12)-('ModelParams Lw'!H$8+'ModelParams Lw'!H$9*$D12+'ModelParams Lw'!H$10*'Sound Power'!$E12^'ModelParams Lw'!H$14+'ModelParams Lw'!H$11*LN('Sound Power'!L12)+'ModelParams Lw'!H$12*'Sound Power'!$D12*'Sound Power'!$E12+'ModelParams Lw'!H$13*'Sound Power'!$D12*LN('Sound Power'!L12)))</f>
        <v>68.553996375635037</v>
      </c>
      <c r="U12" s="17">
        <f>IF(('ModelParams Lw'!I$4*LN('Sound Power'!M12)/(1+EXP(-('Sound Power'!$D12*1000+'ModelParams Lw'!I$6)/'ModelParams Lw'!I$7))+'ModelParams Lw'!I$5)*LN('Sound Power'!$B12)-('ModelParams Lw'!I$8+'ModelParams Lw'!I$9*$D12+'ModelParams Lw'!I$10*'Sound Power'!$E12^'ModelParams Lw'!I$14+'ModelParams Lw'!I$11*LN('Sound Power'!M12)+'ModelParams Lw'!I$12*'Sound Power'!$D12*'Sound Power'!$E12+'ModelParams Lw'!I$13*'Sound Power'!$D12*LN('Sound Power'!M12))&lt;0,"",('ModelParams Lw'!I$4*LN('Sound Power'!M12)/(1+EXP(-('Sound Power'!$D12*1000+'ModelParams Lw'!I$6)/'ModelParams Lw'!I$7))+'ModelParams Lw'!I$5)*LN('Sound Power'!$B12)-('ModelParams Lw'!I$8+'ModelParams Lw'!I$9*$D12+'ModelParams Lw'!I$10*'Sound Power'!$E12^'ModelParams Lw'!I$14+'ModelParams Lw'!I$11*LN('Sound Power'!M12)+'ModelParams Lw'!I$12*'Sound Power'!$D12*'Sound Power'!$E12+'ModelParams Lw'!I$13*'Sound Power'!$D12*LN('Sound Power'!M12)))</f>
        <v>54.787421038108391</v>
      </c>
      <c r="V12" s="17">
        <f>IF(ISERR(10*LOG10(IF(N12="",0,POWER(10,((N12+'ModelParams Lw'!$O$4)/10))) +IF(O12="",0,POWER(10,((O12+'ModelParams Lw'!$P$4)/10))) +IF(P12="",0,POWER(10,((P12+'ModelParams Lw'!$Q$4)/10))) +IF(Q12="",0,POWER(10,((Q12+'ModelParams Lw'!$R$4)/10))) +IF(R12="",0,POWER(10,((R12+'ModelParams Lw'!$S$4)/10))) +IF(S12="",0,POWER(10,((S12+'ModelParams Lw'!$T$4)/10))) +IF(T12="",0,POWER(10,((T12+'ModelParams Lw'!$U$4)/10)))+IF(U12="",0,POWER(10,((U12+'ModelParams Lw'!$V$4)/10))))),0,10*LOG10(IF(N12="",0,POWER(10,((N12+'ModelParams Lw'!$O$4)/10))) +IF(O12="",0,POWER(10,((O12+'ModelParams Lw'!$P$4)/10))) +IF(P12="",0,POWER(10,((P12+'ModelParams Lw'!$Q$4)/10))) +IF(Q12="",0,POWER(10,((Q12+'ModelParams Lw'!$R$4)/10))) +IF(R12="",0,POWER(10,((R12+'ModelParams Lw'!$S$4)/10))) +IF(S12="",0,POWER(10,((S12+'ModelParams Lw'!$T$4)/10))) +IF(T12="",0,POWER(10,((T12+'ModelParams Lw'!$U$4)/10)))+IF(U12="",0,POWER(10,((U12+'ModelParams Lw'!$V$4)/10)))))</f>
        <v>79.581804425576678</v>
      </c>
      <c r="W12" s="17">
        <f t="shared" si="1"/>
        <v>74.836518505210506</v>
      </c>
      <c r="X12" s="17">
        <f>IF(N12="","",(N12-'ModelParams Lw'!O$10)/'ModelParams Lw'!O$11)</f>
        <v>57.51076674667474</v>
      </c>
      <c r="Y12" s="17">
        <f>IF(O12="","",(O12-'ModelParams Lw'!P$10)/'ModelParams Lw'!P$11)</f>
        <v>57.623338154052554</v>
      </c>
      <c r="Z12" s="17">
        <f>IF(P12="","",(P12-'ModelParams Lw'!Q$10)/'ModelParams Lw'!Q$11)</f>
        <v>64.873308226421983</v>
      </c>
      <c r="AA12" s="17">
        <f>IF(Q12="","",(Q12-'ModelParams Lw'!R$10)/'ModelParams Lw'!R$11)</f>
        <v>74.7680139678708</v>
      </c>
      <c r="AB12" s="17">
        <f>IF(R12="","",(R12-'ModelParams Lw'!S$10)/'ModelParams Lw'!S$11)</f>
        <v>74.406619239543431</v>
      </c>
      <c r="AC12" s="17">
        <f>IF(S12="","",(S12-'ModelParams Lw'!T$10)/'ModelParams Lw'!T$11)</f>
        <v>74.836518505210506</v>
      </c>
      <c r="AD12" s="17">
        <f>IF(T12="","",(T12-'ModelParams Lw'!U$10)/'ModelParams Lw'!U$11)</f>
        <v>72.833167195741495</v>
      </c>
      <c r="AE12" s="17">
        <f>IF(U12="","",(U12-'ModelParams Lw'!V$10)/'ModelParams Lw'!V$11)</f>
        <v>60.958661202046983</v>
      </c>
    </row>
  </sheetData>
  <sheetProtection algorithmName="SHA-512" hashValue="PhwCNVF3h11OOOCe8cCqEJkWUeOXphC1UTCV4peGcG+vhm5rRx1/jsFLRnmcZJDh8LYF1wvaHZqcqR5maBMXAA==" saltValue="DMXwv6HFf2PHMMfFczBHew==" spinCount="100000" sheet="1" objects="1" scenarios="1"/>
  <mergeCells count="8">
    <mergeCell ref="F2:M2"/>
    <mergeCell ref="N2:U2"/>
    <mergeCell ref="V2:W2"/>
    <mergeCell ref="X2:AE2"/>
    <mergeCell ref="F1:M1"/>
    <mergeCell ref="N1:U1"/>
    <mergeCell ref="V1:W1"/>
    <mergeCell ref="X1:A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activeCell="L9" sqref="L9"/>
    </sheetView>
  </sheetViews>
  <sheetFormatPr defaultRowHeight="15" x14ac:dyDescent="0.25"/>
  <cols>
    <col min="2" max="2" width="10.5703125" bestFit="1" customWidth="1"/>
  </cols>
  <sheetData>
    <row r="1" spans="1:15" x14ac:dyDescent="0.25">
      <c r="A1" s="1" t="s">
        <v>100</v>
      </c>
    </row>
    <row r="2" spans="1:15" x14ac:dyDescent="0.25">
      <c r="A2" s="73" t="s">
        <v>66</v>
      </c>
      <c r="B2" s="72">
        <v>2.0691962064755185E-2</v>
      </c>
      <c r="C2" s="72">
        <v>8.7743488566762645E-2</v>
      </c>
    </row>
    <row r="3" spans="1:15" x14ac:dyDescent="0.25">
      <c r="A3" s="73" t="s">
        <v>67</v>
      </c>
      <c r="B3" s="72">
        <v>-0.19341054628313706</v>
      </c>
      <c r="C3" s="72">
        <v>2.0913614917587982</v>
      </c>
    </row>
    <row r="4" spans="1:15" x14ac:dyDescent="0.25">
      <c r="A4" s="73" t="s">
        <v>68</v>
      </c>
      <c r="B4" s="72">
        <v>-0.26919026750279074</v>
      </c>
      <c r="C4" s="72">
        <v>0.20203028844552068</v>
      </c>
    </row>
    <row r="6" spans="1:15" x14ac:dyDescent="0.25">
      <c r="A6" s="74" t="s">
        <v>103</v>
      </c>
      <c r="B6" s="41">
        <f>(Calcul!$C$7/100)*(Calcul!$C$6/1000)/(2*((Calcul!$C$7/1000)+(Calcul!$C$6/1000)))</f>
        <v>2.0588235294117649</v>
      </c>
      <c r="C6" s="41">
        <f>(Calcul!$C$7/100)*(Calcul!$C$6/1000)/(2*((Calcul!$C$7/1000)+(Calcul!$C$6/1000)))</f>
        <v>2.0588235294117649</v>
      </c>
      <c r="D6" s="41">
        <f>(Calcul!$C$7/100)*(Calcul!$C$6/1000)/(2*((Calcul!$C$7/1000)+(Calcul!$C$6/1000)))</f>
        <v>2.0588235294117649</v>
      </c>
      <c r="E6" s="41">
        <f>(Calcul!$C$7/100)*(Calcul!$C$6/1000)/(2*((Calcul!$C$7/1000)+(Calcul!$C$6/1000)))</f>
        <v>2.0588235294117649</v>
      </c>
      <c r="F6" s="41">
        <f>(Calcul!$C$7/100)*(Calcul!$C$6/1000)/(2*((Calcul!$C$7/1000)+(Calcul!$C$6/1000)))</f>
        <v>2.0588235294117649</v>
      </c>
      <c r="G6" s="41">
        <f>(Calcul!$C$7/100)*(Calcul!$C$6/1000)/(2*((Calcul!$C$7/1000)+(Calcul!$C$6/1000)))</f>
        <v>2.0588235294117649</v>
      </c>
      <c r="H6" s="41">
        <f>(Calcul!$C$7/100)*(Calcul!$C$6/1000)/(2*((Calcul!$C$7/1000)+(Calcul!$C$6/1000)))</f>
        <v>2.0588235294117649</v>
      </c>
      <c r="I6" s="41">
        <f>(Calcul!$C$7/100)*(Calcul!$C$6/1000)/(2*((Calcul!$C$7/1000)+(Calcul!$C$6/1000)))</f>
        <v>2.0588235294117649</v>
      </c>
      <c r="J6" s="41">
        <f>(Calcul!$C$7/100)*(Calcul!$C$6/1000)/(2*((Calcul!$C$7/1000)+(Calcul!$C$6/1000)))</f>
        <v>2.0588235294117649</v>
      </c>
    </row>
    <row r="7" spans="1:15" x14ac:dyDescent="0.25">
      <c r="A7" s="74" t="s">
        <v>102</v>
      </c>
      <c r="B7" s="41">
        <f>IF(IF(Calcul!C$13="OPEN",$B$4*LN(B6)+$C$4,EXP(($B$2*B6+$C$2)*Calcul!C$13-($B$3*LN(B6)+$C$3)))&lt;0,0.0001,IF(Calcul!C$13="OPEN",$B$4*LN(B6)+$C$4,EXP(($B$2*B6+$C$2)*Calcul!C$13-($B$3*LN(B6)+$C$3))))</f>
        <v>7.6386506866260029E-3</v>
      </c>
      <c r="C7" s="41">
        <f>IF(IF(Calcul!D$13="OPEN",$B$4*LN(C6)+$C$4,EXP(($B$2*C6+$C$2)*Calcul!D$13-($B$3*LN(C6)+$C$3)))&lt;0,0.0001,IF(Calcul!D$13="OPEN",$B$4*LN(C6)+$C$4,EXP(($B$2*C6+$C$2)*Calcul!D$13-($B$3*LN(C6)+$C$3))))</f>
        <v>0.52296164599900463</v>
      </c>
      <c r="D7" s="41">
        <f>IF(IF(Calcul!E$13="OPEN",$B$4*LN(D6)+$C$4,EXP(($B$2*D6+$C$2)*Calcul!E$13-($B$3*LN(D6)+$C$3)))&lt;0,0.0001,IF(Calcul!E$13="OPEN",$B$4*LN(D6)+$C$4,EXP(($B$2*D6+$C$2)*Calcul!E$13-($B$3*LN(D6)+$C$3))))</f>
        <v>1.9255251141997107</v>
      </c>
      <c r="E7" s="41">
        <f>IF(IF(Calcul!F$13="OPEN",$B$4*LN(E6)+$C$4,EXP(($B$2*E6+$C$2)*Calcul!F$13-($B$3*LN(E6)+$C$3)))&lt;0,0.0001,IF(Calcul!F$13="OPEN",$B$4*LN(E6)+$C$4,EXP(($B$2*E6+$C$2)*Calcul!F$13-($B$3*LN(E6)+$C$3))))</f>
        <v>7.0897110596536246</v>
      </c>
      <c r="F7" s="41">
        <f>IF(IF(Calcul!G$13="OPEN",$B$4*LN(F6)+$C$4,EXP(($B$2*F6+$C$2)*Calcul!G$13-($B$3*LN(F6)+$C$3)))&lt;0,0.0001,IF(Calcul!G$13="OPEN",$B$4*LN(F6)+$C$4,EXP(($B$2*F6+$C$2)*Calcul!G$13-($B$3*LN(F6)+$C$3))))</f>
        <v>26.104049507692743</v>
      </c>
      <c r="G7" s="41">
        <f>IF(IF(Calcul!H$13="OPEN",$B$4*LN(G6)+$C$4,EXP(($B$2*G6+$C$2)*Calcul!H$13-($B$3*LN(G6)+$C$3)))&lt;0,0.0001,IF(Calcul!H$13="OPEN",$B$4*LN(G6)+$C$4,EXP(($B$2*G6+$C$2)*Calcul!H$13-($B$3*LN(G6)+$C$3))))</f>
        <v>96.114128624779894</v>
      </c>
      <c r="H7" s="41">
        <f>IF(IF(Calcul!I$13="OPEN",$B$4*LN(H6)+$C$4,EXP(($B$2*H6+$C$2)*Calcul!I$13-($B$3*LN(H6)+$C$3)))&lt;0,0.0001,IF(Calcul!I$13="OPEN",$B$4*LN(H6)+$C$4,EXP(($B$2*H6+$C$2)*Calcul!I$13-($B$3*LN(H6)+$C$3))))</f>
        <v>353.88860715186587</v>
      </c>
      <c r="I7" s="41">
        <f>IF(IF(Calcul!J$13="OPEN",$B$4*LN(I6)+$C$4,EXP(($B$2*I6+$C$2)*Calcul!J$13-($B$3*LN(I6)+$C$3)))&lt;0,0.0001,IF(Calcul!J$13="OPEN",$B$4*LN(I6)+$C$4,EXP(($B$2*I6+$C$2)*Calcul!J$13-($B$3*LN(I6)+$C$3))))</f>
        <v>1303.0045432841737</v>
      </c>
      <c r="J7" s="41">
        <f>IF(IF(Calcul!K$13="OPEN",$B$4*LN(J6)+$C$4,EXP(($B$2*J6+$C$2)*Calcul!K$13-($B$3*LN(J6)+$C$3)))&lt;0,0.0001,IF(Calcul!K$13="OPEN",$B$4*LN(J6)+$C$4,EXP(($B$2*J6+$C$2)*Calcul!K$13-($B$3*LN(J6)+$C$3))))</f>
        <v>4797.6137278999977</v>
      </c>
      <c r="K7" s="41"/>
      <c r="L7" s="41"/>
      <c r="M7" s="41"/>
      <c r="N7" s="41"/>
      <c r="O7" s="41"/>
    </row>
    <row r="8" spans="1:15" x14ac:dyDescent="0.25">
      <c r="A8" s="74" t="s">
        <v>106</v>
      </c>
      <c r="B8" s="41">
        <f>0.5*1.2*B7*Calcul!C14^2</f>
        <v>1.6238628160344399E-3</v>
      </c>
      <c r="C8" s="41">
        <f>0.5*1.2*C7*Calcul!D14^2</f>
        <v>0.11117381930250952</v>
      </c>
      <c r="D8" s="41">
        <f>0.5*1.2*D7*Calcul!E14^2</f>
        <v>0.40933782189619716</v>
      </c>
      <c r="E8" s="41">
        <f>0.5*1.2*E7*Calcul!F14^2</f>
        <v>1.5071664667631011</v>
      </c>
      <c r="F8" s="41">
        <f>0.5*1.2*F7*Calcul!G14^2</f>
        <v>5.5493302524857047</v>
      </c>
      <c r="G8" s="41">
        <f>0.5*1.2*G7*Calcul!H14^2</f>
        <v>20.432425302886887</v>
      </c>
      <c r="H8" s="41">
        <f>0.5*1.2*H7*Calcul!I14^2</f>
        <v>75.231421588406889</v>
      </c>
      <c r="I8" s="41">
        <f>0.5*1.2*I7*Calcul!J14^2</f>
        <v>276.99926515394861</v>
      </c>
      <c r="J8" s="41">
        <f>0.5*1.2*J7*Calcul!K14^2</f>
        <v>1019.9008775297618</v>
      </c>
    </row>
    <row r="9" spans="1:15" x14ac:dyDescent="0.25">
      <c r="A9" s="74"/>
      <c r="B9">
        <f>_xlfn.CEILING.MATH(Calcul!C7,100)/1000</f>
        <v>0.7</v>
      </c>
    </row>
    <row r="10" spans="1:15" x14ac:dyDescent="0.25">
      <c r="B10" s="41">
        <f>Calcul!C7</f>
        <v>700</v>
      </c>
    </row>
    <row r="13" spans="1:15" x14ac:dyDescent="0.25">
      <c r="B13" t="s">
        <v>107</v>
      </c>
      <c r="C13" t="s">
        <v>108</v>
      </c>
    </row>
  </sheetData>
  <sheetProtection algorithmName="SHA-512" hashValue="bo9rTA5pxofUR1whRfatyudBEk/uJedQLu5dNVnhFGUl5b5AcGRzmW6ZcT7SY5loRj1BvKOvuromN0ArNvkjGA==" saltValue="rqJozzGHGYFlJq03kel+hA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8"/>
  <sheetViews>
    <sheetView workbookViewId="0">
      <selection activeCell="O4" sqref="O4:V4"/>
    </sheetView>
  </sheetViews>
  <sheetFormatPr defaultRowHeight="15" x14ac:dyDescent="0.25"/>
  <cols>
    <col min="1" max="1" width="9.85546875" style="3" customWidth="1"/>
    <col min="2" max="13" width="9.140625" style="3"/>
    <col min="14" max="22" width="9.140625" style="20"/>
    <col min="23" max="16384" width="9.140625" style="3"/>
  </cols>
  <sheetData>
    <row r="1" spans="1:22" x14ac:dyDescent="0.25">
      <c r="A1" s="1" t="s">
        <v>35</v>
      </c>
      <c r="N1" s="1" t="s">
        <v>43</v>
      </c>
    </row>
    <row r="2" spans="1:22" ht="15.75" x14ac:dyDescent="0.25">
      <c r="A2" s="7"/>
      <c r="B2" s="84" t="s">
        <v>22</v>
      </c>
      <c r="C2" s="85"/>
      <c r="D2" s="85"/>
      <c r="E2" s="85"/>
      <c r="F2" s="85"/>
      <c r="G2" s="85"/>
      <c r="H2" s="85"/>
      <c r="I2" s="86"/>
      <c r="N2" s="21"/>
      <c r="O2" s="89" t="s">
        <v>22</v>
      </c>
      <c r="P2" s="89"/>
      <c r="Q2" s="89"/>
      <c r="R2" s="89"/>
      <c r="S2" s="89"/>
      <c r="T2" s="89"/>
      <c r="U2" s="89"/>
      <c r="V2" s="89"/>
    </row>
    <row r="3" spans="1:22" ht="15.75" x14ac:dyDescent="0.25">
      <c r="A3" s="7"/>
      <c r="B3" s="8">
        <v>63</v>
      </c>
      <c r="C3" s="8">
        <v>125</v>
      </c>
      <c r="D3" s="8">
        <v>250</v>
      </c>
      <c r="E3" s="8">
        <v>500</v>
      </c>
      <c r="F3" s="8">
        <v>1000</v>
      </c>
      <c r="G3" s="8">
        <v>2000</v>
      </c>
      <c r="H3" s="8">
        <v>4000</v>
      </c>
      <c r="I3" s="8">
        <v>8000</v>
      </c>
      <c r="N3" s="22"/>
      <c r="O3" s="23">
        <v>63</v>
      </c>
      <c r="P3" s="23">
        <v>125</v>
      </c>
      <c r="Q3" s="23">
        <v>250</v>
      </c>
      <c r="R3" s="23">
        <v>500</v>
      </c>
      <c r="S3" s="23">
        <v>1000</v>
      </c>
      <c r="T3" s="23">
        <v>2000</v>
      </c>
      <c r="U3" s="23">
        <v>4000</v>
      </c>
      <c r="V3" s="23">
        <v>8000</v>
      </c>
    </row>
    <row r="4" spans="1:22" x14ac:dyDescent="0.25">
      <c r="A4" s="8" t="s">
        <v>23</v>
      </c>
      <c r="B4" s="9">
        <v>6.1039000000000003</v>
      </c>
      <c r="C4" s="9">
        <v>3.4022000000000001</v>
      </c>
      <c r="D4" s="9">
        <v>8.3910999999999998</v>
      </c>
      <c r="E4" s="9">
        <v>12.237299999999999</v>
      </c>
      <c r="F4" s="9">
        <v>12.492000000000001</v>
      </c>
      <c r="G4" s="9">
        <v>13.817500000000001</v>
      </c>
      <c r="H4" s="9">
        <v>13.430999999999999</v>
      </c>
      <c r="I4" s="9">
        <v>9.0504999999999995</v>
      </c>
      <c r="N4" s="23" t="s">
        <v>40</v>
      </c>
      <c r="O4" s="13">
        <v>-26.2</v>
      </c>
      <c r="P4" s="13">
        <v>-16.100000000000001</v>
      </c>
      <c r="Q4" s="13">
        <v>-8.6</v>
      </c>
      <c r="R4" s="13">
        <v>-3.2</v>
      </c>
      <c r="S4" s="13">
        <v>0</v>
      </c>
      <c r="T4" s="13">
        <v>1.2</v>
      </c>
      <c r="U4" s="13">
        <v>1</v>
      </c>
      <c r="V4" s="13">
        <v>-1.1000000000000001</v>
      </c>
    </row>
    <row r="5" spans="1:22" x14ac:dyDescent="0.25">
      <c r="A5" s="8" t="s">
        <v>24</v>
      </c>
      <c r="B5" s="9">
        <v>29.620799999999999</v>
      </c>
      <c r="C5" s="9">
        <v>29.310700000000001</v>
      </c>
      <c r="D5" s="9">
        <v>35.3947</v>
      </c>
      <c r="E5" s="9">
        <v>43.498899999999999</v>
      </c>
      <c r="F5" s="9">
        <v>54.195300000000003</v>
      </c>
      <c r="G5" s="9">
        <v>64.868600000000001</v>
      </c>
      <c r="H5" s="9">
        <v>68.888499999999993</v>
      </c>
      <c r="I5" s="9">
        <v>50.598199999999999</v>
      </c>
    </row>
    <row r="6" spans="1:22" x14ac:dyDescent="0.25">
      <c r="A6" s="8" t="s">
        <v>25</v>
      </c>
      <c r="B6" s="9">
        <v>14.7958</v>
      </c>
      <c r="C6" s="9">
        <v>-172.9699</v>
      </c>
      <c r="D6" s="9">
        <v>44.404600000000002</v>
      </c>
      <c r="E6" s="9">
        <v>210.30799999999999</v>
      </c>
      <c r="F6" s="9">
        <v>254.20920000000001</v>
      </c>
      <c r="G6" s="9">
        <v>221.48759999999999</v>
      </c>
      <c r="H6" s="9">
        <v>203.62020000000001</v>
      </c>
      <c r="I6" s="9">
        <v>76.221199999999996</v>
      </c>
    </row>
    <row r="7" spans="1:22" x14ac:dyDescent="0.25">
      <c r="A7" s="8" t="s">
        <v>26</v>
      </c>
      <c r="B7" s="9">
        <v>124.74209999999999</v>
      </c>
      <c r="C7" s="9">
        <v>72.502300000000005</v>
      </c>
      <c r="D7" s="9">
        <v>230.51730000000001</v>
      </c>
      <c r="E7" s="9">
        <v>298.09140000000002</v>
      </c>
      <c r="F7" s="9">
        <v>221.0368</v>
      </c>
      <c r="G7" s="9">
        <v>192.68690000000001</v>
      </c>
      <c r="H7" s="9">
        <v>193.94710000000001</v>
      </c>
      <c r="I7" s="9">
        <v>154.19380000000001</v>
      </c>
      <c r="N7" s="24" t="s">
        <v>42</v>
      </c>
    </row>
    <row r="8" spans="1:22" x14ac:dyDescent="0.25">
      <c r="A8" s="8" t="s">
        <v>27</v>
      </c>
      <c r="B8" s="9">
        <v>-189.3321</v>
      </c>
      <c r="C8" s="9">
        <v>-163.34809999999999</v>
      </c>
      <c r="D8" s="9">
        <v>-7.6257000000000001</v>
      </c>
      <c r="E8" s="9">
        <v>140.29050000000001</v>
      </c>
      <c r="F8" s="9">
        <v>281.68189999999998</v>
      </c>
      <c r="G8" s="9">
        <v>380.4083</v>
      </c>
      <c r="H8" s="9">
        <v>403.5154</v>
      </c>
      <c r="I8" s="9">
        <v>281.17380000000003</v>
      </c>
      <c r="N8" s="21"/>
      <c r="O8" s="89" t="s">
        <v>22</v>
      </c>
      <c r="P8" s="89"/>
      <c r="Q8" s="89"/>
      <c r="R8" s="89"/>
      <c r="S8" s="89"/>
      <c r="T8" s="89"/>
      <c r="U8" s="89"/>
      <c r="V8" s="89"/>
    </row>
    <row r="9" spans="1:22" x14ac:dyDescent="0.25">
      <c r="A9" s="8" t="s">
        <v>28</v>
      </c>
      <c r="B9" s="9">
        <v>61.321800000000003</v>
      </c>
      <c r="C9" s="9">
        <v>84.039400000000001</v>
      </c>
      <c r="D9" s="9">
        <v>77.2971</v>
      </c>
      <c r="E9" s="9">
        <v>89.659000000000006</v>
      </c>
      <c r="F9" s="9">
        <v>93.233999999999995</v>
      </c>
      <c r="G9" s="9">
        <v>105.351</v>
      </c>
      <c r="H9" s="9">
        <v>105.2659</v>
      </c>
      <c r="I9" s="9">
        <v>72.267600000000002</v>
      </c>
      <c r="N9" s="22"/>
      <c r="O9" s="23">
        <v>63</v>
      </c>
      <c r="P9" s="23">
        <v>125</v>
      </c>
      <c r="Q9" s="23">
        <v>250</v>
      </c>
      <c r="R9" s="23">
        <v>500</v>
      </c>
      <c r="S9" s="23">
        <v>1000</v>
      </c>
      <c r="T9" s="23">
        <v>2000</v>
      </c>
      <c r="U9" s="23">
        <v>4000</v>
      </c>
      <c r="V9" s="23">
        <v>8000</v>
      </c>
    </row>
    <row r="10" spans="1:22" x14ac:dyDescent="0.25">
      <c r="A10" s="8" t="s">
        <v>29</v>
      </c>
      <c r="B10" s="9">
        <v>393.52609999999999</v>
      </c>
      <c r="C10" s="9">
        <v>381.07440000000003</v>
      </c>
      <c r="D10" s="9">
        <v>268.94839999999999</v>
      </c>
      <c r="E10" s="9">
        <v>201.358</v>
      </c>
      <c r="F10" s="9">
        <v>168.1722</v>
      </c>
      <c r="G10" s="9">
        <v>180.2295</v>
      </c>
      <c r="H10" s="9">
        <v>205.5719</v>
      </c>
      <c r="I10" s="9">
        <v>161.3228</v>
      </c>
      <c r="N10" s="23" t="s">
        <v>40</v>
      </c>
      <c r="O10" s="13">
        <v>35.5</v>
      </c>
      <c r="P10" s="13">
        <v>22</v>
      </c>
      <c r="Q10" s="13">
        <v>12</v>
      </c>
      <c r="R10" s="13">
        <v>4.8</v>
      </c>
      <c r="S10" s="13">
        <v>0</v>
      </c>
      <c r="T10" s="13">
        <v>-3.5</v>
      </c>
      <c r="U10" s="13">
        <v>-6.1</v>
      </c>
      <c r="V10" s="13">
        <v>-8</v>
      </c>
    </row>
    <row r="11" spans="1:22" x14ac:dyDescent="0.25">
      <c r="A11" s="8" t="s">
        <v>30</v>
      </c>
      <c r="B11" s="9">
        <v>57.733699999999999</v>
      </c>
      <c r="C11" s="9">
        <v>41.603299999999997</v>
      </c>
      <c r="D11" s="9">
        <v>72.153400000000005</v>
      </c>
      <c r="E11" s="9">
        <v>100.49339999999999</v>
      </c>
      <c r="F11" s="9">
        <v>117.89530000000001</v>
      </c>
      <c r="G11" s="9">
        <v>136.1405</v>
      </c>
      <c r="H11" s="9">
        <v>137.62280000000001</v>
      </c>
      <c r="I11" s="9">
        <v>102.2236</v>
      </c>
      <c r="N11" s="23" t="s">
        <v>41</v>
      </c>
      <c r="O11" s="13">
        <v>0.79</v>
      </c>
      <c r="P11" s="13">
        <v>0.87</v>
      </c>
      <c r="Q11" s="13">
        <v>0.93</v>
      </c>
      <c r="R11" s="13">
        <v>0.97399999999999998</v>
      </c>
      <c r="S11" s="13">
        <v>1</v>
      </c>
      <c r="T11" s="13">
        <v>1.0149999999999999</v>
      </c>
      <c r="U11" s="13">
        <v>1.0249999999999999</v>
      </c>
      <c r="V11" s="13">
        <v>1.03</v>
      </c>
    </row>
    <row r="12" spans="1:22" x14ac:dyDescent="0.25">
      <c r="A12" s="8" t="s">
        <v>31</v>
      </c>
      <c r="B12" s="9">
        <v>-64.8155</v>
      </c>
      <c r="C12" s="9">
        <v>-103.7901</v>
      </c>
      <c r="D12" s="9">
        <v>-70.995199999999997</v>
      </c>
      <c r="E12" s="9">
        <v>-83.294700000000006</v>
      </c>
      <c r="F12" s="9">
        <v>-73.9953</v>
      </c>
      <c r="G12" s="9">
        <v>-83.947299999999998</v>
      </c>
      <c r="H12" s="9">
        <v>-74.339200000000005</v>
      </c>
      <c r="I12" s="9">
        <v>-44.261600000000001</v>
      </c>
    </row>
    <row r="13" spans="1:22" x14ac:dyDescent="0.25">
      <c r="A13" s="8" t="s">
        <v>32</v>
      </c>
      <c r="B13" s="9">
        <v>6.7163000000000004</v>
      </c>
      <c r="C13" s="9">
        <v>6.75</v>
      </c>
      <c r="D13" s="9">
        <v>19.509699999999999</v>
      </c>
      <c r="E13" s="9">
        <v>25.004999999999999</v>
      </c>
      <c r="F13" s="9">
        <v>16.3386</v>
      </c>
      <c r="G13" s="9">
        <v>14.462300000000001</v>
      </c>
      <c r="H13" s="9">
        <v>14.6153</v>
      </c>
      <c r="I13" s="9">
        <v>8.2720000000000002</v>
      </c>
    </row>
    <row r="14" spans="1:22" x14ac:dyDescent="0.25">
      <c r="A14" s="8" t="s">
        <v>33</v>
      </c>
      <c r="B14" s="9">
        <v>8.3099999999999993E-2</v>
      </c>
      <c r="C14" s="9">
        <v>0.12039999999999999</v>
      </c>
      <c r="D14" s="9">
        <v>0.1459</v>
      </c>
      <c r="E14" s="9">
        <v>0.2344</v>
      </c>
      <c r="F14" s="9">
        <v>0.32319999999999999</v>
      </c>
      <c r="G14" s="9">
        <v>0.36009999999999998</v>
      </c>
      <c r="H14" s="9">
        <v>0.308</v>
      </c>
      <c r="I14" s="9">
        <v>0.30859999999999999</v>
      </c>
    </row>
    <row r="15" spans="1:22" x14ac:dyDescent="0.25">
      <c r="A15" s="8" t="s">
        <v>34</v>
      </c>
      <c r="B15" s="9">
        <v>149147.73310000001</v>
      </c>
      <c r="C15" s="9">
        <v>39747.223100000003</v>
      </c>
      <c r="D15" s="9">
        <v>29368.523399999998</v>
      </c>
      <c r="E15" s="9">
        <v>46811.014799999997</v>
      </c>
      <c r="F15" s="9">
        <v>103378.5521</v>
      </c>
      <c r="G15" s="9">
        <v>152355.5987</v>
      </c>
      <c r="H15" s="9">
        <v>187188.47159999999</v>
      </c>
      <c r="I15" s="9">
        <v>88487.902700000006</v>
      </c>
    </row>
    <row r="19" spans="1:22" x14ac:dyDescent="0.25">
      <c r="A19" s="1" t="s">
        <v>44</v>
      </c>
    </row>
    <row r="20" spans="1:22" s="19" customFormat="1" ht="11.25" x14ac:dyDescent="0.2">
      <c r="A20" s="25"/>
      <c r="B20" s="25"/>
      <c r="C20" s="87" t="s">
        <v>39</v>
      </c>
      <c r="D20" s="88"/>
      <c r="E20" s="88"/>
      <c r="F20" s="88"/>
      <c r="G20" s="88"/>
      <c r="H20" s="88"/>
      <c r="I20" s="88"/>
      <c r="J20" s="88"/>
      <c r="N20" s="20"/>
      <c r="O20" s="20"/>
      <c r="P20" s="20"/>
      <c r="Q20" s="20"/>
      <c r="R20" s="20"/>
      <c r="S20" s="20"/>
      <c r="T20" s="20"/>
      <c r="U20" s="20"/>
      <c r="V20" s="20"/>
    </row>
    <row r="21" spans="1:22" s="19" customFormat="1" ht="11.25" x14ac:dyDescent="0.2">
      <c r="A21" s="26"/>
      <c r="B21" s="26"/>
      <c r="C21" s="27">
        <v>63</v>
      </c>
      <c r="D21" s="28">
        <v>125</v>
      </c>
      <c r="E21" s="28">
        <v>250</v>
      </c>
      <c r="F21" s="28">
        <v>500</v>
      </c>
      <c r="G21" s="28">
        <v>1000</v>
      </c>
      <c r="H21" s="28">
        <v>2000</v>
      </c>
      <c r="I21" s="28">
        <v>4000</v>
      </c>
      <c r="J21" s="28">
        <v>8000</v>
      </c>
      <c r="N21" s="20"/>
      <c r="O21" s="20"/>
      <c r="P21" s="20"/>
      <c r="Q21" s="20"/>
      <c r="R21" s="20"/>
      <c r="S21" s="20"/>
      <c r="T21" s="20"/>
      <c r="U21" s="20"/>
      <c r="V21" s="20"/>
    </row>
    <row r="22" spans="1:22" s="19" customFormat="1" ht="12.75" x14ac:dyDescent="0.25">
      <c r="A22" s="29" t="s">
        <v>47</v>
      </c>
      <c r="B22" s="30" t="s">
        <v>45</v>
      </c>
      <c r="C22" s="31">
        <v>17.046751890805364</v>
      </c>
      <c r="D22" s="31">
        <v>10.640346382797613</v>
      </c>
      <c r="E22" s="31">
        <v>10.265257574138049</v>
      </c>
      <c r="F22" s="31">
        <v>7.6670089129709957</v>
      </c>
      <c r="G22" s="31">
        <v>9.5740229201214717</v>
      </c>
      <c r="H22" s="31">
        <v>10.228050583299419</v>
      </c>
      <c r="I22" s="31">
        <v>9.2379910674537626</v>
      </c>
      <c r="J22" s="31">
        <v>7.9233543545877252</v>
      </c>
      <c r="N22" s="20"/>
      <c r="O22" s="20"/>
      <c r="P22" s="20"/>
      <c r="Q22" s="20"/>
      <c r="R22" s="20"/>
      <c r="S22" s="20"/>
      <c r="T22" s="20"/>
      <c r="U22" s="20"/>
      <c r="V22" s="20"/>
    </row>
    <row r="23" spans="1:22" s="19" customFormat="1" ht="12.75" x14ac:dyDescent="0.25">
      <c r="A23" s="37"/>
      <c r="B23" s="28" t="s">
        <v>46</v>
      </c>
      <c r="C23" s="31">
        <v>9.9009624317472102</v>
      </c>
      <c r="D23" s="31">
        <v>3.7685575055601785</v>
      </c>
      <c r="E23" s="31">
        <v>16.831792529013164</v>
      </c>
      <c r="F23" s="31">
        <v>17.098450171258737</v>
      </c>
      <c r="G23" s="31">
        <v>13.915634597349239</v>
      </c>
      <c r="H23" s="31">
        <v>9.9246208133070848</v>
      </c>
      <c r="I23" s="31">
        <v>16.351945391843</v>
      </c>
      <c r="J23" s="31">
        <v>16.483626827176757</v>
      </c>
      <c r="N23" s="20"/>
      <c r="O23" s="20"/>
      <c r="P23" s="20"/>
      <c r="Q23" s="20"/>
      <c r="R23" s="20"/>
      <c r="S23" s="20"/>
      <c r="T23" s="20"/>
      <c r="U23" s="20"/>
      <c r="V23" s="20"/>
    </row>
    <row r="24" spans="1:22" s="19" customFormat="1" ht="12.75" x14ac:dyDescent="0.25">
      <c r="A24" s="37"/>
      <c r="B24" s="30" t="s">
        <v>62</v>
      </c>
      <c r="C24" s="31">
        <v>0.18764986046873977</v>
      </c>
      <c r="D24" s="31">
        <v>1.8903079279467014</v>
      </c>
      <c r="E24" s="31">
        <v>0.15524632756465015</v>
      </c>
      <c r="F24" s="31">
        <v>1.8326424202235405</v>
      </c>
      <c r="G24" s="31">
        <v>3.5765100816561231</v>
      </c>
      <c r="H24" s="31">
        <v>4.4267742602729037</v>
      </c>
      <c r="I24" s="31">
        <v>1.8565011032825232</v>
      </c>
      <c r="J24" s="39">
        <v>0</v>
      </c>
      <c r="N24" s="20"/>
      <c r="O24" s="20"/>
      <c r="P24" s="20"/>
      <c r="Q24" s="20"/>
      <c r="R24" s="20"/>
      <c r="S24" s="20"/>
      <c r="T24" s="20"/>
      <c r="U24" s="20"/>
      <c r="V24" s="20"/>
    </row>
    <row r="25" spans="1:22" s="19" customFormat="1" ht="12.75" x14ac:dyDescent="0.25">
      <c r="A25" s="37"/>
      <c r="B25" s="30" t="s">
        <v>63</v>
      </c>
      <c r="C25" s="31">
        <v>175.03835733202587</v>
      </c>
      <c r="D25" s="31">
        <v>360.70978594728928</v>
      </c>
      <c r="E25" s="31">
        <v>4089.5248247365284</v>
      </c>
      <c r="F25" s="31">
        <v>338.52072006082358</v>
      </c>
      <c r="G25" s="31">
        <v>459.97210631547989</v>
      </c>
      <c r="H25" s="31">
        <v>480.35547889831588</v>
      </c>
      <c r="I25" s="31">
        <v>351.35600396619134</v>
      </c>
      <c r="J25" s="39">
        <v>1</v>
      </c>
      <c r="N25" s="20"/>
      <c r="O25" s="20"/>
      <c r="P25" s="20"/>
      <c r="Q25" s="20"/>
      <c r="R25" s="20"/>
      <c r="S25" s="20"/>
      <c r="T25" s="20"/>
      <c r="U25" s="20"/>
      <c r="V25" s="20"/>
    </row>
    <row r="26" spans="1:22" s="19" customFormat="1" ht="12.75" x14ac:dyDescent="0.25">
      <c r="A26" s="29" t="s">
        <v>48</v>
      </c>
      <c r="B26" s="30" t="s">
        <v>45</v>
      </c>
      <c r="C26" s="31">
        <v>21.342001384634941</v>
      </c>
      <c r="D26" s="31">
        <v>17.046018265088609</v>
      </c>
      <c r="E26" s="31">
        <v>20.484297651952755</v>
      </c>
      <c r="F26" s="31">
        <v>19.911890337277896</v>
      </c>
      <c r="G26" s="31">
        <v>19.261875138339818</v>
      </c>
      <c r="H26" s="31">
        <v>20.598032186892869</v>
      </c>
      <c r="I26" s="31">
        <v>17.79755841260339</v>
      </c>
      <c r="J26" s="31">
        <v>15.353714269823181</v>
      </c>
      <c r="N26" s="20"/>
      <c r="O26" s="20"/>
      <c r="P26" s="20"/>
      <c r="Q26" s="20"/>
      <c r="R26" s="20"/>
      <c r="S26" s="20"/>
      <c r="T26" s="20"/>
      <c r="U26" s="20"/>
      <c r="V26" s="20"/>
    </row>
    <row r="27" spans="1:22" s="19" customFormat="1" ht="12.75" x14ac:dyDescent="0.25">
      <c r="A27" s="37"/>
      <c r="B27" s="33" t="s">
        <v>46</v>
      </c>
      <c r="C27" s="31">
        <v>7.86972546291139</v>
      </c>
      <c r="D27" s="31">
        <v>3.1391601594679703</v>
      </c>
      <c r="E27" s="31">
        <v>-5.0485076849666699</v>
      </c>
      <c r="F27" s="31">
        <v>-0.92422494544870903</v>
      </c>
      <c r="G27" s="31">
        <v>-1.68107394650797</v>
      </c>
      <c r="H27" s="31">
        <v>-6.7748119545129297</v>
      </c>
      <c r="I27" s="31">
        <v>10.822076462569372</v>
      </c>
      <c r="J27" s="31">
        <v>18.935522361014549</v>
      </c>
      <c r="N27" s="20"/>
      <c r="O27" s="20"/>
      <c r="P27" s="20"/>
      <c r="Q27" s="20"/>
      <c r="R27" s="20"/>
      <c r="S27" s="20"/>
      <c r="T27" s="20"/>
      <c r="U27" s="20"/>
      <c r="V27" s="20"/>
    </row>
    <row r="28" spans="1:22" s="19" customFormat="1" ht="12.75" x14ac:dyDescent="0.25">
      <c r="A28" s="37"/>
      <c r="B28" s="30" t="s">
        <v>62</v>
      </c>
      <c r="C28" s="31">
        <v>2.7272913846430562</v>
      </c>
      <c r="D28" s="31">
        <v>2.7888251846520364</v>
      </c>
      <c r="E28" s="31">
        <v>2.294107954720932</v>
      </c>
      <c r="F28" s="31">
        <v>1.918838898047706</v>
      </c>
      <c r="G28" s="31">
        <v>1.3620804660215839</v>
      </c>
      <c r="H28" s="31">
        <v>1.1296384410755154</v>
      </c>
      <c r="I28" s="31">
        <v>-0.31554631388932902</v>
      </c>
      <c r="J28" s="31">
        <v>-5.4031565124448804</v>
      </c>
      <c r="N28" s="20"/>
      <c r="O28" s="20"/>
      <c r="P28" s="20"/>
      <c r="Q28" s="20"/>
      <c r="R28" s="20"/>
      <c r="S28" s="20"/>
      <c r="T28" s="20"/>
      <c r="U28" s="20"/>
      <c r="V28" s="20"/>
    </row>
    <row r="29" spans="1:22" s="19" customFormat="1" ht="12.75" x14ac:dyDescent="0.25">
      <c r="A29" s="30"/>
      <c r="B29" s="30" t="s">
        <v>63</v>
      </c>
      <c r="C29" s="31">
        <v>521.86832785939305</v>
      </c>
      <c r="D29" s="31">
        <v>613.98196308690115</v>
      </c>
      <c r="E29" s="31">
        <v>604.63885640109118</v>
      </c>
      <c r="F29" s="31">
        <v>4352.4304770455246</v>
      </c>
      <c r="G29" s="31">
        <v>492.87407858566814</v>
      </c>
      <c r="H29" s="31">
        <v>736.89647891437346</v>
      </c>
      <c r="I29" s="31">
        <v>431.85942410995585</v>
      </c>
      <c r="J29" s="31">
        <v>585.36160547481859</v>
      </c>
      <c r="N29" s="20"/>
      <c r="O29" s="20"/>
      <c r="P29" s="20"/>
      <c r="Q29" s="20"/>
      <c r="R29" s="20"/>
      <c r="S29" s="20"/>
      <c r="T29" s="20"/>
      <c r="U29" s="20"/>
      <c r="V29" s="20"/>
    </row>
    <row r="32" spans="1:22" x14ac:dyDescent="0.25">
      <c r="A32" s="1" t="s">
        <v>56</v>
      </c>
      <c r="P32" s="1" t="s">
        <v>57</v>
      </c>
    </row>
    <row r="33" spans="1:23" ht="15.75" x14ac:dyDescent="0.25">
      <c r="A33" s="7"/>
      <c r="B33" s="84" t="s">
        <v>22</v>
      </c>
      <c r="C33" s="85"/>
      <c r="D33" s="85"/>
      <c r="E33" s="85"/>
      <c r="F33" s="85"/>
      <c r="G33" s="85"/>
      <c r="H33" s="85"/>
      <c r="I33" s="86"/>
      <c r="R33" s="88" t="s">
        <v>39</v>
      </c>
      <c r="S33" s="88"/>
      <c r="T33" s="88"/>
      <c r="U33" s="88"/>
      <c r="V33" s="88"/>
      <c r="W33" s="88"/>
    </row>
    <row r="34" spans="1:23" ht="15.75" x14ac:dyDescent="0.25">
      <c r="A34" s="7"/>
      <c r="B34" s="8">
        <v>63</v>
      </c>
      <c r="C34" s="8">
        <v>125</v>
      </c>
      <c r="D34" s="8">
        <v>250</v>
      </c>
      <c r="E34" s="8">
        <v>500</v>
      </c>
      <c r="F34" s="8">
        <v>1000</v>
      </c>
      <c r="G34" s="8">
        <v>2000</v>
      </c>
      <c r="H34" s="8">
        <v>4000</v>
      </c>
      <c r="I34" s="8">
        <v>8000</v>
      </c>
      <c r="P34" s="28" t="s">
        <v>53</v>
      </c>
      <c r="Q34" s="28" t="s">
        <v>36</v>
      </c>
      <c r="R34" s="28">
        <v>125</v>
      </c>
      <c r="S34" s="28">
        <v>250</v>
      </c>
      <c r="T34" s="28">
        <v>500</v>
      </c>
      <c r="U34" s="28">
        <v>1000</v>
      </c>
      <c r="V34" s="28">
        <v>2000</v>
      </c>
      <c r="W34" s="28">
        <v>4000</v>
      </c>
    </row>
    <row r="35" spans="1:23" x14ac:dyDescent="0.25">
      <c r="A35" s="23" t="s">
        <v>51</v>
      </c>
      <c r="B35" s="9">
        <v>8.6999999999999993</v>
      </c>
      <c r="C35" s="9">
        <v>8.5</v>
      </c>
      <c r="D35" s="9">
        <v>8.1</v>
      </c>
      <c r="E35" s="9">
        <v>9.4</v>
      </c>
      <c r="F35" s="9">
        <v>12.4</v>
      </c>
      <c r="G35" s="9">
        <v>15.2</v>
      </c>
      <c r="H35" s="9">
        <v>20.5</v>
      </c>
      <c r="I35" s="9">
        <v>25</v>
      </c>
      <c r="P35" s="29">
        <v>100</v>
      </c>
      <c r="Q35" s="28" t="s">
        <v>58</v>
      </c>
      <c r="R35" s="36">
        <v>8.1494</v>
      </c>
      <c r="S35" s="36">
        <v>-153.91999999999999</v>
      </c>
      <c r="T35" s="36">
        <v>-66.757999999999996</v>
      </c>
      <c r="U35" s="36">
        <v>-195.59</v>
      </c>
      <c r="V35" s="36">
        <v>327.77</v>
      </c>
      <c r="W35" s="36">
        <v>212.49</v>
      </c>
    </row>
    <row r="36" spans="1:23" x14ac:dyDescent="0.25">
      <c r="P36" s="37"/>
      <c r="Q36" s="28" t="s">
        <v>59</v>
      </c>
      <c r="R36" s="36">
        <v>-18.434999999999999</v>
      </c>
      <c r="S36" s="36">
        <v>149.97</v>
      </c>
      <c r="T36" s="36">
        <v>2.0396000000000001</v>
      </c>
      <c r="U36" s="36">
        <v>98.052000000000007</v>
      </c>
      <c r="V36" s="36">
        <v>-511.79</v>
      </c>
      <c r="W36" s="36">
        <v>-324.88</v>
      </c>
    </row>
    <row r="37" spans="1:23" x14ac:dyDescent="0.25">
      <c r="A37" s="8" t="s">
        <v>52</v>
      </c>
      <c r="B37" s="8" t="s">
        <v>53</v>
      </c>
      <c r="C37" s="8" t="s">
        <v>54</v>
      </c>
      <c r="D37" s="8" t="s">
        <v>55</v>
      </c>
      <c r="P37" s="30"/>
      <c r="Q37" s="28" t="s">
        <v>60</v>
      </c>
      <c r="R37" s="36">
        <v>9.9789999999999992</v>
      </c>
      <c r="S37" s="36">
        <v>-27.466999999999999</v>
      </c>
      <c r="T37" s="36">
        <v>38.985999999999997</v>
      </c>
      <c r="U37" s="36">
        <v>37.673999999999999</v>
      </c>
      <c r="V37" s="36">
        <v>210.13</v>
      </c>
      <c r="W37" s="36">
        <v>131</v>
      </c>
    </row>
    <row r="38" spans="1:23" x14ac:dyDescent="0.25">
      <c r="A38" s="8">
        <v>200</v>
      </c>
      <c r="B38" s="35">
        <v>100</v>
      </c>
      <c r="C38" s="35">
        <v>1</v>
      </c>
      <c r="D38" s="35">
        <v>0.5</v>
      </c>
      <c r="P38" s="29">
        <v>150</v>
      </c>
      <c r="Q38" s="28" t="s">
        <v>58</v>
      </c>
      <c r="R38" s="36">
        <v>-50</v>
      </c>
      <c r="S38" s="36">
        <v>-50</v>
      </c>
      <c r="T38" s="36">
        <v>200</v>
      </c>
      <c r="U38" s="36">
        <v>-100</v>
      </c>
      <c r="V38" s="36">
        <v>150</v>
      </c>
      <c r="W38" s="36">
        <v>50</v>
      </c>
    </row>
    <row r="39" spans="1:23" x14ac:dyDescent="0.25">
      <c r="A39" s="8">
        <v>250</v>
      </c>
      <c r="B39" s="35">
        <v>100</v>
      </c>
      <c r="C39" s="35">
        <v>1</v>
      </c>
      <c r="D39" s="35">
        <v>0.6</v>
      </c>
      <c r="P39" s="37"/>
      <c r="Q39" s="28" t="s">
        <v>59</v>
      </c>
      <c r="R39" s="36">
        <v>48.5</v>
      </c>
      <c r="S39" s="36">
        <v>22.5</v>
      </c>
      <c r="T39" s="36">
        <v>-316</v>
      </c>
      <c r="U39" s="36">
        <v>-1</v>
      </c>
      <c r="V39" s="36">
        <v>-271.5</v>
      </c>
      <c r="W39" s="36">
        <v>-118.5</v>
      </c>
    </row>
    <row r="40" spans="1:23" x14ac:dyDescent="0.25">
      <c r="A40" s="8">
        <v>300</v>
      </c>
      <c r="B40" s="35">
        <v>150</v>
      </c>
      <c r="C40" s="35">
        <v>1</v>
      </c>
      <c r="D40" s="35">
        <v>0.5</v>
      </c>
      <c r="P40" s="30"/>
      <c r="Q40" s="28" t="s">
        <v>60</v>
      </c>
      <c r="R40" s="36">
        <v>-8.3249999999999993</v>
      </c>
      <c r="S40" s="36">
        <v>11.125</v>
      </c>
      <c r="T40" s="36">
        <v>128.69999999999999</v>
      </c>
      <c r="U40" s="36">
        <v>56.2</v>
      </c>
      <c r="V40" s="36">
        <v>126.43</v>
      </c>
      <c r="W40" s="36">
        <v>63.075000000000003</v>
      </c>
    </row>
    <row r="41" spans="1:23" x14ac:dyDescent="0.25">
      <c r="A41" s="8">
        <v>350</v>
      </c>
      <c r="B41" s="35">
        <v>150</v>
      </c>
      <c r="C41" s="35">
        <v>1</v>
      </c>
      <c r="D41" s="35">
        <v>0.56999999999999995</v>
      </c>
      <c r="P41" s="29">
        <v>200</v>
      </c>
      <c r="Q41" s="28" t="s">
        <v>58</v>
      </c>
      <c r="R41" s="36">
        <v>1.7642</v>
      </c>
      <c r="S41" s="36">
        <v>74.619</v>
      </c>
      <c r="T41" s="36">
        <v>210.54</v>
      </c>
      <c r="U41" s="36">
        <v>242.85</v>
      </c>
      <c r="V41" s="36">
        <v>298.91000000000003</v>
      </c>
      <c r="W41" s="36">
        <v>108.69</v>
      </c>
    </row>
    <row r="42" spans="1:23" x14ac:dyDescent="0.25">
      <c r="A42" s="8">
        <v>400</v>
      </c>
      <c r="B42" s="35">
        <v>150</v>
      </c>
      <c r="C42" s="35">
        <v>1</v>
      </c>
      <c r="D42" s="35">
        <v>0.63</v>
      </c>
      <c r="P42" s="37"/>
      <c r="Q42" s="28" t="s">
        <v>59</v>
      </c>
      <c r="R42" s="36">
        <v>-8.3727</v>
      </c>
      <c r="S42" s="36">
        <v>-117.02</v>
      </c>
      <c r="T42" s="36">
        <v>-320.39999999999998</v>
      </c>
      <c r="U42" s="36">
        <v>-352.37</v>
      </c>
      <c r="V42" s="36">
        <v>-390.71</v>
      </c>
      <c r="W42" s="36">
        <v>-157.37</v>
      </c>
    </row>
    <row r="43" spans="1:23" x14ac:dyDescent="0.25">
      <c r="A43" s="8">
        <v>450</v>
      </c>
      <c r="B43" s="35">
        <v>200</v>
      </c>
      <c r="C43" s="35">
        <v>1</v>
      </c>
      <c r="D43" s="35">
        <v>0.56000000000000005</v>
      </c>
      <c r="P43" s="30"/>
      <c r="Q43" s="28" t="s">
        <v>60</v>
      </c>
      <c r="R43" s="36">
        <v>8.06</v>
      </c>
      <c r="S43" s="36">
        <v>50.344000000000001</v>
      </c>
      <c r="T43" s="36">
        <v>124.51</v>
      </c>
      <c r="U43" s="36">
        <v>138.94</v>
      </c>
      <c r="V43" s="36">
        <v>141.36000000000001</v>
      </c>
      <c r="W43" s="36">
        <v>62.837000000000003</v>
      </c>
    </row>
    <row r="44" spans="1:23" x14ac:dyDescent="0.25">
      <c r="A44" s="8">
        <v>500</v>
      </c>
      <c r="B44" s="35">
        <v>200</v>
      </c>
      <c r="C44" s="35">
        <v>1</v>
      </c>
      <c r="D44" s="35">
        <v>0.6</v>
      </c>
    </row>
    <row r="45" spans="1:23" x14ac:dyDescent="0.25">
      <c r="A45" s="8">
        <v>550</v>
      </c>
      <c r="B45" s="35">
        <v>200</v>
      </c>
      <c r="C45" s="35">
        <v>1</v>
      </c>
      <c r="D45" s="35">
        <v>0.64</v>
      </c>
    </row>
    <row r="46" spans="1:23" x14ac:dyDescent="0.25">
      <c r="A46" s="8">
        <v>600</v>
      </c>
      <c r="B46" s="35">
        <v>150</v>
      </c>
      <c r="C46" s="35">
        <v>2</v>
      </c>
      <c r="D46" s="35">
        <v>0.5</v>
      </c>
    </row>
    <row r="47" spans="1:23" x14ac:dyDescent="0.25">
      <c r="A47" s="8">
        <v>650</v>
      </c>
      <c r="B47" s="35">
        <v>150</v>
      </c>
      <c r="C47" s="35">
        <v>2</v>
      </c>
      <c r="D47" s="35">
        <v>0.54</v>
      </c>
    </row>
    <row r="48" spans="1:23" x14ac:dyDescent="0.25">
      <c r="A48" s="8">
        <v>700</v>
      </c>
      <c r="B48" s="35">
        <v>150</v>
      </c>
      <c r="C48" s="35">
        <v>2</v>
      </c>
      <c r="D48" s="35">
        <v>0.56999999999999995</v>
      </c>
    </row>
    <row r="49" spans="1:4" x14ac:dyDescent="0.25">
      <c r="A49" s="8">
        <v>750</v>
      </c>
      <c r="B49" s="35">
        <v>150</v>
      </c>
      <c r="C49" s="35">
        <v>2</v>
      </c>
      <c r="D49" s="35">
        <v>0.6</v>
      </c>
    </row>
    <row r="50" spans="1:4" x14ac:dyDescent="0.25">
      <c r="A50" s="8">
        <v>800</v>
      </c>
      <c r="B50" s="35">
        <v>200</v>
      </c>
      <c r="C50" s="35">
        <v>2</v>
      </c>
      <c r="D50" s="35">
        <v>0.5</v>
      </c>
    </row>
    <row r="51" spans="1:4" x14ac:dyDescent="0.25">
      <c r="A51" s="8">
        <v>850</v>
      </c>
      <c r="B51" s="35">
        <v>200</v>
      </c>
      <c r="C51" s="35">
        <v>2</v>
      </c>
      <c r="D51" s="35">
        <v>0.53</v>
      </c>
    </row>
    <row r="52" spans="1:4" x14ac:dyDescent="0.25">
      <c r="A52" s="8">
        <v>900</v>
      </c>
      <c r="B52" s="35">
        <v>200</v>
      </c>
      <c r="C52" s="35">
        <v>2</v>
      </c>
      <c r="D52" s="35">
        <v>0.56000000000000005</v>
      </c>
    </row>
    <row r="53" spans="1:4" x14ac:dyDescent="0.25">
      <c r="A53" s="8">
        <v>950</v>
      </c>
      <c r="B53" s="35">
        <v>200</v>
      </c>
      <c r="C53" s="35">
        <v>2</v>
      </c>
      <c r="D53" s="35">
        <v>0.57999999999999996</v>
      </c>
    </row>
    <row r="54" spans="1:4" x14ac:dyDescent="0.25">
      <c r="A54" s="8">
        <v>1000</v>
      </c>
      <c r="B54" s="35">
        <v>200</v>
      </c>
      <c r="C54" s="35">
        <v>2</v>
      </c>
      <c r="D54" s="35">
        <v>0.6</v>
      </c>
    </row>
    <row r="55" spans="1:4" x14ac:dyDescent="0.25">
      <c r="A55" s="8">
        <v>1050</v>
      </c>
      <c r="B55" s="35">
        <v>200</v>
      </c>
      <c r="C55" s="35">
        <v>2</v>
      </c>
      <c r="D55" s="35">
        <v>0.62</v>
      </c>
    </row>
    <row r="56" spans="1:4" x14ac:dyDescent="0.25">
      <c r="A56" s="8">
        <v>1100</v>
      </c>
      <c r="B56" s="35">
        <v>200</v>
      </c>
      <c r="C56" s="35">
        <v>2</v>
      </c>
      <c r="D56" s="35">
        <v>0.64</v>
      </c>
    </row>
    <row r="57" spans="1:4" x14ac:dyDescent="0.25">
      <c r="A57" s="8">
        <v>1150</v>
      </c>
      <c r="B57" s="35">
        <v>200</v>
      </c>
      <c r="C57" s="35">
        <v>2</v>
      </c>
      <c r="D57" s="35">
        <v>0.65</v>
      </c>
    </row>
    <row r="58" spans="1:4" x14ac:dyDescent="0.25">
      <c r="A58" s="8">
        <v>1200</v>
      </c>
      <c r="B58" s="35">
        <v>200</v>
      </c>
      <c r="C58" s="35">
        <v>3</v>
      </c>
      <c r="D58" s="35">
        <v>0.5</v>
      </c>
    </row>
  </sheetData>
  <sheetProtection algorithmName="SHA-512" hashValue="hGnoiEE53089tMV2x+f/nXKkinpwTMkpzkKA7vowfc0Kj4drHURbgq4b1CPVohjeVrCJ2zGx9IfQNw5uCmX0pw==" saltValue="Rjj2AY2sgrAwwhcbgYOK2w==" spinCount="100000" sheet="1" objects="1" scenarios="1"/>
  <mergeCells count="6">
    <mergeCell ref="B2:I2"/>
    <mergeCell ref="C20:J20"/>
    <mergeCell ref="O2:V2"/>
    <mergeCell ref="O8:V8"/>
    <mergeCell ref="B33:I33"/>
    <mergeCell ref="R33:W3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F12" sqref="F12"/>
    </sheetView>
  </sheetViews>
  <sheetFormatPr defaultRowHeight="15" x14ac:dyDescent="0.25"/>
  <cols>
    <col min="1" max="1" width="19.28515625" style="40" customWidth="1"/>
    <col min="2" max="2" width="10.5703125" style="40" bestFit="1" customWidth="1"/>
    <col min="3" max="3" width="18.42578125" style="40" bestFit="1" customWidth="1"/>
    <col min="4" max="5" width="9.140625" style="40"/>
    <col min="6" max="6" width="28" style="40" bestFit="1" customWidth="1"/>
    <col min="7" max="7" width="15.85546875" style="40" bestFit="1" customWidth="1"/>
    <col min="8" max="8" width="16.42578125" style="40" bestFit="1" customWidth="1"/>
  </cols>
  <sheetData>
    <row r="1" spans="1:8" x14ac:dyDescent="0.25">
      <c r="A1" s="43" t="s">
        <v>16</v>
      </c>
      <c r="B1" s="43" t="s">
        <v>19</v>
      </c>
      <c r="C1" s="43" t="s">
        <v>82</v>
      </c>
      <c r="D1" s="43" t="s">
        <v>69</v>
      </c>
      <c r="E1" s="43" t="s">
        <v>70</v>
      </c>
      <c r="F1" s="43" t="s">
        <v>81</v>
      </c>
      <c r="G1" s="43" t="s">
        <v>6</v>
      </c>
      <c r="H1" s="43" t="s">
        <v>7</v>
      </c>
    </row>
    <row r="2" spans="1:8" x14ac:dyDescent="0.25">
      <c r="A2" s="40" t="s">
        <v>15</v>
      </c>
      <c r="B2" s="40" t="s">
        <v>12</v>
      </c>
      <c r="C2" s="40" t="s">
        <v>78</v>
      </c>
      <c r="D2" s="40">
        <v>100</v>
      </c>
      <c r="E2" s="40">
        <f>200</f>
        <v>200</v>
      </c>
      <c r="F2" s="40" t="s">
        <v>74</v>
      </c>
      <c r="G2" s="40" t="s">
        <v>65</v>
      </c>
      <c r="H2" s="40" t="s">
        <v>72</v>
      </c>
    </row>
    <row r="3" spans="1:8" x14ac:dyDescent="0.25">
      <c r="A3" s="40" t="s">
        <v>17</v>
      </c>
      <c r="B3" s="40" t="s">
        <v>20</v>
      </c>
      <c r="C3" s="40" t="s">
        <v>79</v>
      </c>
      <c r="D3" s="40">
        <f>D2+50</f>
        <v>150</v>
      </c>
      <c r="E3" s="40">
        <f>E2+50</f>
        <v>250</v>
      </c>
      <c r="F3" s="40" t="s">
        <v>76</v>
      </c>
      <c r="G3" s="40" t="s">
        <v>71</v>
      </c>
      <c r="H3" s="40" t="s">
        <v>61</v>
      </c>
    </row>
    <row r="4" spans="1:8" x14ac:dyDescent="0.25">
      <c r="A4" s="40" t="s">
        <v>18</v>
      </c>
      <c r="C4" s="40" t="s">
        <v>77</v>
      </c>
      <c r="D4" s="40">
        <f t="shared" ref="D4:D24" si="0">D3+50</f>
        <v>200</v>
      </c>
      <c r="E4" s="40">
        <f t="shared" ref="E4:E22" si="1">E3+50</f>
        <v>300</v>
      </c>
      <c r="F4" s="40" t="s">
        <v>75</v>
      </c>
    </row>
    <row r="5" spans="1:8" x14ac:dyDescent="0.25">
      <c r="C5" s="40" t="s">
        <v>80</v>
      </c>
      <c r="D5" s="40">
        <f t="shared" si="0"/>
        <v>250</v>
      </c>
      <c r="E5" s="40">
        <f t="shared" si="1"/>
        <v>350</v>
      </c>
    </row>
    <row r="6" spans="1:8" x14ac:dyDescent="0.25">
      <c r="C6" s="40" t="s">
        <v>61</v>
      </c>
      <c r="D6" s="40">
        <f t="shared" si="0"/>
        <v>300</v>
      </c>
      <c r="E6" s="40">
        <f t="shared" si="1"/>
        <v>400</v>
      </c>
    </row>
    <row r="7" spans="1:8" x14ac:dyDescent="0.25">
      <c r="D7" s="40">
        <f t="shared" si="0"/>
        <v>350</v>
      </c>
      <c r="E7" s="40">
        <f t="shared" si="1"/>
        <v>450</v>
      </c>
    </row>
    <row r="8" spans="1:8" x14ac:dyDescent="0.25">
      <c r="D8" s="40">
        <f t="shared" si="0"/>
        <v>400</v>
      </c>
      <c r="E8" s="40">
        <f t="shared" si="1"/>
        <v>500</v>
      </c>
    </row>
    <row r="9" spans="1:8" x14ac:dyDescent="0.25">
      <c r="D9" s="40">
        <f t="shared" si="0"/>
        <v>450</v>
      </c>
      <c r="E9" s="40">
        <f t="shared" si="1"/>
        <v>550</v>
      </c>
    </row>
    <row r="10" spans="1:8" x14ac:dyDescent="0.25">
      <c r="D10" s="40">
        <f t="shared" si="0"/>
        <v>500</v>
      </c>
      <c r="E10" s="40">
        <f t="shared" si="1"/>
        <v>600</v>
      </c>
    </row>
    <row r="11" spans="1:8" x14ac:dyDescent="0.25">
      <c r="D11" s="40">
        <f t="shared" si="0"/>
        <v>550</v>
      </c>
      <c r="E11" s="40">
        <f t="shared" si="1"/>
        <v>650</v>
      </c>
    </row>
    <row r="12" spans="1:8" x14ac:dyDescent="0.25">
      <c r="D12" s="40">
        <f t="shared" si="0"/>
        <v>600</v>
      </c>
      <c r="E12" s="40">
        <f t="shared" si="1"/>
        <v>700</v>
      </c>
    </row>
    <row r="13" spans="1:8" x14ac:dyDescent="0.25">
      <c r="D13" s="40">
        <f t="shared" si="0"/>
        <v>650</v>
      </c>
      <c r="E13" s="40">
        <f t="shared" si="1"/>
        <v>750</v>
      </c>
    </row>
    <row r="14" spans="1:8" x14ac:dyDescent="0.25">
      <c r="D14" s="40">
        <f t="shared" si="0"/>
        <v>700</v>
      </c>
      <c r="E14" s="40">
        <f t="shared" si="1"/>
        <v>800</v>
      </c>
    </row>
    <row r="15" spans="1:8" x14ac:dyDescent="0.25">
      <c r="D15" s="40">
        <f t="shared" si="0"/>
        <v>750</v>
      </c>
      <c r="E15" s="40">
        <f t="shared" si="1"/>
        <v>850</v>
      </c>
    </row>
    <row r="16" spans="1:8" x14ac:dyDescent="0.25">
      <c r="D16" s="40">
        <f t="shared" si="0"/>
        <v>800</v>
      </c>
      <c r="E16" s="40">
        <f t="shared" si="1"/>
        <v>900</v>
      </c>
    </row>
    <row r="17" spans="4:5" x14ac:dyDescent="0.25">
      <c r="D17" s="40">
        <f t="shared" si="0"/>
        <v>850</v>
      </c>
      <c r="E17" s="40">
        <f t="shared" si="1"/>
        <v>950</v>
      </c>
    </row>
    <row r="18" spans="4:5" x14ac:dyDescent="0.25">
      <c r="D18" s="40">
        <f t="shared" si="0"/>
        <v>900</v>
      </c>
      <c r="E18" s="40">
        <f t="shared" si="1"/>
        <v>1000</v>
      </c>
    </row>
    <row r="19" spans="4:5" x14ac:dyDescent="0.25">
      <c r="D19" s="40">
        <f t="shared" si="0"/>
        <v>950</v>
      </c>
      <c r="E19" s="40">
        <f t="shared" si="1"/>
        <v>1050</v>
      </c>
    </row>
    <row r="20" spans="4:5" x14ac:dyDescent="0.25">
      <c r="D20" s="40">
        <f t="shared" si="0"/>
        <v>1000</v>
      </c>
      <c r="E20" s="40">
        <f t="shared" si="1"/>
        <v>1100</v>
      </c>
    </row>
    <row r="21" spans="4:5" x14ac:dyDescent="0.25">
      <c r="D21" s="40">
        <f t="shared" si="0"/>
        <v>1050</v>
      </c>
      <c r="E21" s="40">
        <f t="shared" si="1"/>
        <v>1150</v>
      </c>
    </row>
    <row r="22" spans="4:5" x14ac:dyDescent="0.25">
      <c r="D22" s="40">
        <f>D21+50</f>
        <v>1100</v>
      </c>
      <c r="E22" s="40">
        <f t="shared" si="1"/>
        <v>1200</v>
      </c>
    </row>
    <row r="23" spans="4:5" x14ac:dyDescent="0.25">
      <c r="D23" s="40">
        <f t="shared" si="0"/>
        <v>1150</v>
      </c>
    </row>
    <row r="24" spans="4:5" x14ac:dyDescent="0.25">
      <c r="D24" s="40">
        <f t="shared" si="0"/>
        <v>1200</v>
      </c>
    </row>
  </sheetData>
  <sheetProtection algorithmName="SHA-512" hashValue="s1kmDhK8rH96pY35GQhueI77xf/E1X38GCwzeOCYweVdzUjiQ1yHeiiED2340/087osoPt+WWg7y41g10rRSRg==" saltValue="Cq3ILMBNf+jlrR00QU4J5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Calcul</vt:lpstr>
      <vt:lpstr>Sound Power</vt:lpstr>
      <vt:lpstr>dPs vs Alfa</vt:lpstr>
      <vt:lpstr>ModelParams Lw</vt:lpstr>
      <vt:lpstr>PullDownMenu</vt:lpstr>
    </vt:vector>
  </TitlesOfParts>
  <Company>Grada International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De Clercq</dc:creator>
  <cp:lastModifiedBy>Bob De Clercq</cp:lastModifiedBy>
  <cp:lastPrinted>2016-04-06T11:00:00Z</cp:lastPrinted>
  <dcterms:created xsi:type="dcterms:W3CDTF">2016-03-07T11:47:54Z</dcterms:created>
  <dcterms:modified xsi:type="dcterms:W3CDTF">2016-05-27T12:18:49Z</dcterms:modified>
</cp:coreProperties>
</file>